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Other\ED Bill Tracker Tool\2025\Q4 2025\"/>
    </mc:Choice>
  </mc:AlternateContent>
  <xr:revisionPtr revIDLastSave="0" documentId="13_ncr:1_{DC984033-6447-433A-9DB6-CAF6387EE482}" xr6:coauthVersionLast="47" xr6:coauthVersionMax="47" xr10:uidLastSave="{00000000-0000-0000-0000-000000000000}"/>
  <bookViews>
    <workbookView xWindow="-108" yWindow="-108" windowWidth="23256" windowHeight="12456" xr2:uid="{F78EA3D9-BB62-44C2-B6F5-3A0A5CAAA083}"/>
  </bookViews>
  <sheets>
    <sheet name="Notable Assumptions" sheetId="23" r:id="rId1"/>
    <sheet name="Summary" sheetId="10" r:id="rId2"/>
    <sheet name="Selected Data" sheetId="17" r:id="rId3"/>
    <sheet name="Authorized Rev Req" sheetId="2" r:id="rId4"/>
    <sheet name="Incremental Rev Req" sheetId="11" r:id="rId5"/>
    <sheet name="SAR and RAR" sheetId="3" r:id="rId6"/>
    <sheet name="Res Bill Impact" sheetId="4" r:id="rId7"/>
    <sheet name="SAR and RAR (TOU-A)" sheetId="19" r:id="rId8"/>
    <sheet name="Bill Impact (TOU-A)" sheetId="20" r:id="rId9"/>
    <sheet name="Hypothetical Summary" sheetId="12" r:id="rId10"/>
    <sheet name="Hypothetical SAR and RAR" sheetId="13" r:id="rId11"/>
    <sheet name="Hypothetical Res Bill Impact" sheetId="14" r:id="rId12"/>
    <sheet name="Hypoth. SAR and RAR (TOU-A)" sheetId="21" r:id="rId13"/>
    <sheet name="Hypoth. Bill Impact (TOU-A)" sheetId="22" r:id="rId14"/>
    <sheet name="% of CARE Sales" sheetId="15" r:id="rId15"/>
    <sheet name="Sales Allocations &amp; CCC" sheetId="18" r:id="rId16"/>
  </sheets>
  <definedNames>
    <definedName name="__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2017_Labor_Escalation_Rate">#REF!</definedName>
    <definedName name="_4ColName">SUBSTITUTE(SUBSTITUTE(SUBSTITUTE(SUBSTITUTE(SUBSTITUTE(TRIM(T(#REF!)&amp;"."&amp;T(#REF!)&amp;"."&amp;T(#REF!)&amp;"."&amp;T(#REF!)&amp;"."),"+","and"),"%","pct"),"-",""),"..","."),"&amp;","and")</definedName>
    <definedName name="_xlnm._FilterDatabase" localSheetId="3" hidden="1">'Authorized Rev Req'!$A$7:$U$167</definedName>
    <definedName name="_xlnm._FilterDatabase" localSheetId="4" hidden="1">'Incremental Rev Req'!$A$8:$K$115</definedName>
    <definedName name="_xlnm._FilterDatabase" localSheetId="5" hidden="1">'SAR and RAR'!$A$1:$AE$83</definedName>
    <definedName name="_xlnm._FilterDatabase" localSheetId="7" hidden="1">'SAR and RAR (TOU-A)'!$A$1:$AE$83</definedName>
    <definedName name="_FPV1">#REF!</definedName>
    <definedName name="_FPV3">#REF!</definedName>
    <definedName name="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SPV1">#REF!</definedName>
    <definedName name="_SPV3">#REF!</definedName>
    <definedName name="Actuals">#REF!</definedName>
    <definedName name="Aflag">#REF!</definedName>
    <definedName name="Aflag2">#REF!</definedName>
    <definedName name="again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IR">#REF!</definedName>
    <definedName name="Balancing_Authority">#REF!</definedName>
    <definedName name="BondsIssued">#REF!</definedName>
    <definedName name="Boolean">#REF!</definedName>
    <definedName name="bt_d">#REF!</definedName>
    <definedName name="Bundled_Unbundled">#REF!</definedName>
    <definedName name="CBond">#REF!</definedName>
    <definedName name="CECRA">#REF!</definedName>
    <definedName name="Construction_Status">#REF!</definedName>
    <definedName name="copy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copy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copy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copy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copy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CORE_U">#REF!</definedName>
    <definedName name="Country">#REF!</definedName>
    <definedName name="CPUC_Approval_Status">#REF!</definedName>
    <definedName name="CREZ">#REF!</definedName>
    <definedName name="CTAC">#REF!</definedName>
    <definedName name="CTRBA">#REF!</definedName>
    <definedName name="DACRS">SUM(#REF!)</definedName>
    <definedName name="_xlnm.Database">#REF!</definedName>
    <definedName name="Dchoice">#REF!</definedName>
    <definedName name="Delay_Termination_Reason">#REF!</definedName>
    <definedName name="DeliverabilityStatusOptions">#REF!</definedName>
    <definedName name="Distflag">#REF!</definedName>
    <definedName name="Dmdmult">#REF!</definedName>
    <definedName name="EPC_Contract_Status">#REF!</definedName>
    <definedName name="F_E">#REF!</definedName>
    <definedName name="Facility_Status">#REF!</definedName>
    <definedName name="FAIR">#REF!</definedName>
    <definedName name="FBUILD">#REF!</definedName>
    <definedName name="FCOMM">#REF!</definedName>
    <definedName name="FCOMP">#REF!</definedName>
    <definedName name="Financing_Status">#REF!</definedName>
    <definedName name="Flat">#REF!</definedName>
    <definedName name="FM">#REF!</definedName>
    <definedName name="FOPROD">#REF!</definedName>
    <definedName name="FSONG2">#REF!</definedName>
    <definedName name="FSTEAM">#REF!</definedName>
    <definedName name="FT_D">#REF!</definedName>
    <definedName name="gsur">#REF!</definedName>
    <definedName name="head1">#REF!</definedName>
    <definedName name="head10">#REF!</definedName>
    <definedName name="head1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9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Title" hidden="1">"Daily MTM  Report"</definedName>
    <definedName name="huh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huhnd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nd2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huh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huh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huh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IterationType">#REF!</definedName>
    <definedName name="LineLoss">#REF!</definedName>
    <definedName name="LocalAreaOptions">#REF!</definedName>
    <definedName name="LOLD">1</definedName>
    <definedName name="LOLD_Table">7</definedName>
    <definedName name="Mflag">#REF!</definedName>
    <definedName name="NCORE_U">#REF!</definedName>
    <definedName name="ND">#REF!</definedName>
    <definedName name="Out_Start_Date">#REF!</definedName>
    <definedName name="Out_Term_Date">#REF!</definedName>
    <definedName name="Overall_Project_Status">#REF!</definedName>
    <definedName name="Party_that_Terminated_Contract">#REF!</definedName>
    <definedName name="Path26DesignationOptions">#REF!</definedName>
    <definedName name="PBond">#REF!</definedName>
    <definedName name="PCC_Classification">#REF!</definedName>
    <definedName name="PECRA">#REF!</definedName>
    <definedName name="Print_All_Tariff">#REF!</definedName>
    <definedName name="Program_Origination">#REF!</definedName>
    <definedName name="RAM_Auction_Round">#REF!</definedName>
    <definedName name="record1">#REF!</definedName>
    <definedName name="Record2">#REF!</definedName>
    <definedName name="Reporting_LSE">#REF!</definedName>
    <definedName name="Resource_Designation">#REF!</definedName>
    <definedName name="SAIR">#REF!</definedName>
    <definedName name="SAPBEXhrIndnt" hidden="1">"Wide"</definedName>
    <definedName name="SAPsysID" hidden="1">"708C5W7SBKP804JT78WJ0JNKI"</definedName>
    <definedName name="SAPwbID" hidden="1">"ARS"</definedName>
    <definedName name="SBUILD">#REF!</definedName>
    <definedName name="SchedulingID">#REF!</definedName>
    <definedName name="SCOMM">#REF!</definedName>
    <definedName name="SCOMP">#REF!</definedName>
    <definedName name="sds">#REF!</definedName>
    <definedName name="Season">#REF!</definedName>
    <definedName name="Sflag">#REF!</definedName>
    <definedName name="SM">#REF!</definedName>
    <definedName name="SOPROD">#REF!</definedName>
    <definedName name="SSONG2">#REF!</definedName>
    <definedName name="SSTEAM">#REF!</definedName>
    <definedName name="ST_D">#REF!</definedName>
    <definedName name="Status_of_Facility_Study___Phase_II_Study">#REF!</definedName>
    <definedName name="Status_of_Feasibility_Study">#REF!</definedName>
    <definedName name="Status_of_Interconnection_Agreement">#REF!</definedName>
    <definedName name="Status_of_System_Impact_Study___Phase_I_Study">#REF!</definedName>
    <definedName name="STEAM">#REF!</definedName>
    <definedName name="TAC">#REF!</definedName>
    <definedName name="TACCalcOptions">#REF!</definedName>
    <definedName name="Technology_SubType">#REF!</definedName>
    <definedName name="Technology_Type">#REF!</definedName>
    <definedName name="TRBA">#REF!</definedName>
    <definedName name="wrn.AG." hidden="1">{#N/A,#N/A,FALSE,"AG-1";#N/A,#N/A,FALSE,"AG-R";#N/A,#N/A,FALSE,"AG-V";#N/A,#N/A,FALSE,"AG-4";#N/A,#N/A,FALSE,"AG-5";#N/A,#N/A,FALSE,"AG-6";#N/A,#N/A,FALSE,"AG-7"}</definedName>
    <definedName name="wrn.AGa.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rn.Agb.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wrn.comind.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wrn.Distr.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G_CSP_REPORT." hidden="1">{#N/A,#N/A,FALSE,"Summary";#N/A,#N/A,FALSE,"Tariff G-CSP &amp; G-SUR";#N/A,#N/A,FALSE,"Amortization Calculations";#N/A,#N/A,FALSE,"Contracted Volumes";#N/A,#N/A,FALSE,"Reservation"}</definedName>
    <definedName name="wrn.ND.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.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0" i="14" l="1"/>
  <c r="L40" i="14"/>
  <c r="C50" i="14"/>
  <c r="C40" i="14"/>
  <c r="C33" i="22"/>
  <c r="D18" i="17"/>
  <c r="C18" i="17"/>
  <c r="C19" i="17"/>
  <c r="D19" i="17"/>
  <c r="D17" i="17"/>
  <c r="C17" i="17"/>
  <c r="L129" i="11" l="1"/>
  <c r="L128" i="11"/>
  <c r="L134" i="11" l="1"/>
  <c r="L133" i="11"/>
  <c r="L132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7" i="11"/>
  <c r="L96" i="11"/>
  <c r="L95" i="11"/>
  <c r="L94" i="11"/>
  <c r="L93" i="11"/>
  <c r="I33" i="11" l="1"/>
  <c r="D26" i="11"/>
  <c r="J33" i="11" l="1"/>
  <c r="Q26" i="17" s="1"/>
  <c r="D129" i="11" l="1"/>
  <c r="G37" i="11"/>
  <c r="C20" i="3" l="1"/>
  <c r="H6" i="12"/>
  <c r="G34" i="22"/>
  <c r="M25" i="22"/>
  <c r="L25" i="22"/>
  <c r="K25" i="22"/>
  <c r="J25" i="22"/>
  <c r="M24" i="22"/>
  <c r="L24" i="22"/>
  <c r="K24" i="22"/>
  <c r="J24" i="22"/>
  <c r="M23" i="22"/>
  <c r="L23" i="22"/>
  <c r="K23" i="22"/>
  <c r="J23" i="22"/>
  <c r="I20" i="22"/>
  <c r="G4" i="22"/>
  <c r="F4" i="22"/>
  <c r="E4" i="22"/>
  <c r="Z27" i="21"/>
  <c r="Y27" i="21"/>
  <c r="X27" i="21"/>
  <c r="W27" i="21"/>
  <c r="W21" i="21"/>
  <c r="U21" i="21"/>
  <c r="C18" i="21"/>
  <c r="C17" i="21"/>
  <c r="C16" i="21"/>
  <c r="C15" i="21"/>
  <c r="C14" i="21"/>
  <c r="C13" i="21"/>
  <c r="C12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C11" i="21"/>
  <c r="C10" i="21"/>
  <c r="C9" i="21"/>
  <c r="C7" i="21"/>
  <c r="C6" i="21"/>
  <c r="C5" i="21"/>
  <c r="C4" i="21"/>
  <c r="P91" i="14"/>
  <c r="G91" i="14"/>
  <c r="K90" i="14"/>
  <c r="B90" i="14"/>
  <c r="P81" i="14"/>
  <c r="G81" i="14"/>
  <c r="K80" i="14"/>
  <c r="B80" i="14"/>
  <c r="P71" i="14"/>
  <c r="G71" i="14"/>
  <c r="P61" i="14"/>
  <c r="G61" i="14"/>
  <c r="P51" i="14"/>
  <c r="G51" i="14"/>
  <c r="P41" i="14"/>
  <c r="G41" i="14"/>
  <c r="T34" i="14"/>
  <c r="S34" i="14"/>
  <c r="R34" i="14"/>
  <c r="Q34" i="14"/>
  <c r="T33" i="14"/>
  <c r="S33" i="14"/>
  <c r="R33" i="14"/>
  <c r="Q33" i="14"/>
  <c r="T32" i="14"/>
  <c r="S32" i="14"/>
  <c r="R32" i="14"/>
  <c r="Q32" i="14"/>
  <c r="T31" i="14"/>
  <c r="S31" i="14"/>
  <c r="R31" i="14"/>
  <c r="Q31" i="14"/>
  <c r="P28" i="14"/>
  <c r="T25" i="14"/>
  <c r="S25" i="14"/>
  <c r="R25" i="14"/>
  <c r="Q25" i="14"/>
  <c r="T24" i="14"/>
  <c r="S24" i="14"/>
  <c r="R24" i="14"/>
  <c r="Q24" i="14"/>
  <c r="T23" i="14"/>
  <c r="S23" i="14"/>
  <c r="R23" i="14"/>
  <c r="Q23" i="14"/>
  <c r="T22" i="14"/>
  <c r="S22" i="14"/>
  <c r="R22" i="14"/>
  <c r="N7" i="12" s="1"/>
  <c r="Q22" i="14"/>
  <c r="P19" i="14"/>
  <c r="R4" i="14"/>
  <c r="Q4" i="14"/>
  <c r="P4" i="14"/>
  <c r="G4" i="14"/>
  <c r="F4" i="14"/>
  <c r="E4" i="14"/>
  <c r="AC28" i="13"/>
  <c r="AB28" i="13"/>
  <c r="AA28" i="13"/>
  <c r="Z28" i="13"/>
  <c r="X21" i="13"/>
  <c r="W21" i="13"/>
  <c r="V21" i="13"/>
  <c r="U21" i="13"/>
  <c r="C18" i="13"/>
  <c r="C17" i="13"/>
  <c r="C16" i="13"/>
  <c r="C15" i="13"/>
  <c r="C14" i="13"/>
  <c r="C13" i="13"/>
  <c r="C12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C11" i="13"/>
  <c r="C10" i="13"/>
  <c r="C9" i="13"/>
  <c r="C8" i="13"/>
  <c r="C7" i="13"/>
  <c r="C6" i="13"/>
  <c r="C5" i="13"/>
  <c r="C4" i="13"/>
  <c r="F100" i="12"/>
  <c r="F94" i="12"/>
  <c r="F88" i="12"/>
  <c r="L83" i="12"/>
  <c r="C83" i="12"/>
  <c r="K82" i="12"/>
  <c r="B82" i="12"/>
  <c r="O81" i="12"/>
  <c r="F81" i="12"/>
  <c r="L77" i="12"/>
  <c r="C77" i="12"/>
  <c r="K76" i="12"/>
  <c r="B76" i="12"/>
  <c r="O75" i="12"/>
  <c r="F75" i="12"/>
  <c r="L71" i="12"/>
  <c r="C71" i="12"/>
  <c r="K70" i="12"/>
  <c r="B70" i="12"/>
  <c r="O69" i="12"/>
  <c r="F69" i="12"/>
  <c r="O63" i="12"/>
  <c r="F63" i="12"/>
  <c r="O57" i="12"/>
  <c r="F57" i="12"/>
  <c r="O51" i="12"/>
  <c r="F51" i="12"/>
  <c r="O45" i="12"/>
  <c r="F45" i="12"/>
  <c r="O39" i="12"/>
  <c r="F39" i="12"/>
  <c r="O33" i="12"/>
  <c r="F33" i="12"/>
  <c r="D26" i="12"/>
  <c r="D100" i="12" s="1"/>
  <c r="D20" i="12"/>
  <c r="P8" i="12"/>
  <c r="O8" i="12"/>
  <c r="N8" i="12"/>
  <c r="M8" i="12"/>
  <c r="P7" i="12"/>
  <c r="O7" i="12"/>
  <c r="M7" i="12"/>
  <c r="H5" i="12"/>
  <c r="H4" i="12"/>
  <c r="H2" i="12"/>
  <c r="N37" i="22"/>
  <c r="M37" i="22"/>
  <c r="N36" i="22"/>
  <c r="M36" i="22"/>
  <c r="N35" i="22"/>
  <c r="M35" i="22"/>
  <c r="N34" i="22"/>
  <c r="M34" i="22"/>
  <c r="I34" i="20"/>
  <c r="G34" i="20"/>
  <c r="O25" i="22"/>
  <c r="N25" i="22"/>
  <c r="O24" i="22"/>
  <c r="N24" i="22"/>
  <c r="N23" i="22"/>
  <c r="E11" i="22"/>
  <c r="E9" i="22"/>
  <c r="E7" i="22"/>
  <c r="F4" i="20"/>
  <c r="G4" i="20" s="1"/>
  <c r="T91" i="4"/>
  <c r="R91" i="4"/>
  <c r="I91" i="4"/>
  <c r="G91" i="4"/>
  <c r="M90" i="4"/>
  <c r="N90" i="4" s="1"/>
  <c r="B90" i="4"/>
  <c r="C90" i="4" s="1"/>
  <c r="T81" i="4"/>
  <c r="R81" i="4"/>
  <c r="I81" i="4"/>
  <c r="G81" i="4"/>
  <c r="M80" i="4"/>
  <c r="N80" i="4" s="1"/>
  <c r="B80" i="4"/>
  <c r="C80" i="4" s="1"/>
  <c r="T71" i="4"/>
  <c r="R71" i="4"/>
  <c r="I71" i="4"/>
  <c r="G71" i="4"/>
  <c r="T61" i="4"/>
  <c r="R61" i="4"/>
  <c r="I61" i="4"/>
  <c r="G61" i="4"/>
  <c r="T51" i="4"/>
  <c r="R51" i="4"/>
  <c r="I51" i="4"/>
  <c r="G51" i="4"/>
  <c r="T41" i="4"/>
  <c r="R41" i="4"/>
  <c r="I41" i="4"/>
  <c r="G41" i="4"/>
  <c r="V34" i="14"/>
  <c r="U34" i="14"/>
  <c r="M34" i="14"/>
  <c r="L34" i="14"/>
  <c r="J34" i="14"/>
  <c r="I34" i="14"/>
  <c r="V33" i="14"/>
  <c r="U33" i="14"/>
  <c r="M33" i="14"/>
  <c r="L33" i="14"/>
  <c r="J33" i="14"/>
  <c r="I33" i="14"/>
  <c r="V32" i="14"/>
  <c r="U32" i="14"/>
  <c r="M32" i="14"/>
  <c r="L32" i="14"/>
  <c r="J32" i="14"/>
  <c r="I32" i="14"/>
  <c r="V31" i="14"/>
  <c r="U31" i="14"/>
  <c r="L31" i="14"/>
  <c r="J31" i="14"/>
  <c r="I31" i="14"/>
  <c r="C26" i="14"/>
  <c r="V25" i="14"/>
  <c r="U25" i="14"/>
  <c r="M25" i="14"/>
  <c r="L25" i="14"/>
  <c r="J25" i="14"/>
  <c r="I25" i="14"/>
  <c r="C25" i="14"/>
  <c r="V24" i="14"/>
  <c r="U24" i="14"/>
  <c r="M24" i="14"/>
  <c r="L24" i="14"/>
  <c r="J24" i="14"/>
  <c r="I24" i="14"/>
  <c r="V23" i="14"/>
  <c r="U23" i="14"/>
  <c r="M23" i="14"/>
  <c r="L23" i="14"/>
  <c r="J23" i="14"/>
  <c r="I23" i="14"/>
  <c r="C23" i="14"/>
  <c r="V22" i="14"/>
  <c r="U22" i="14"/>
  <c r="M22" i="14"/>
  <c r="L22" i="14"/>
  <c r="J22" i="14"/>
  <c r="I22" i="14"/>
  <c r="C22" i="14"/>
  <c r="C21" i="4"/>
  <c r="C21" i="20" s="1"/>
  <c r="C34" i="20" s="1"/>
  <c r="Q12" i="14"/>
  <c r="P12" i="14"/>
  <c r="F12" i="14"/>
  <c r="E12" i="14"/>
  <c r="Q11" i="14"/>
  <c r="P11" i="14"/>
  <c r="F11" i="14"/>
  <c r="E11" i="14"/>
  <c r="P10" i="14"/>
  <c r="F10" i="14"/>
  <c r="E10" i="14"/>
  <c r="P9" i="14"/>
  <c r="F9" i="14"/>
  <c r="E9" i="14"/>
  <c r="P8" i="14"/>
  <c r="F8" i="14"/>
  <c r="E8" i="14"/>
  <c r="P7" i="14"/>
  <c r="F7" i="14"/>
  <c r="E7" i="14"/>
  <c r="R4" i="4"/>
  <c r="Q4" i="4"/>
  <c r="G4" i="4"/>
  <c r="E35" i="21"/>
  <c r="D35" i="21"/>
  <c r="C35" i="21"/>
  <c r="E34" i="21"/>
  <c r="D34" i="21"/>
  <c r="E25" i="21"/>
  <c r="D25" i="21"/>
  <c r="E24" i="21"/>
  <c r="D24" i="21"/>
  <c r="C24" i="21"/>
  <c r="AF23" i="19"/>
  <c r="AE23" i="19"/>
  <c r="AD23" i="19"/>
  <c r="AC23" i="19"/>
  <c r="R23" i="19"/>
  <c r="H23" i="19"/>
  <c r="S23" i="19" s="1"/>
  <c r="C20" i="19"/>
  <c r="D36" i="13"/>
  <c r="C36" i="13"/>
  <c r="E35" i="13"/>
  <c r="D35" i="13"/>
  <c r="E26" i="13"/>
  <c r="D26" i="13"/>
  <c r="C26" i="13"/>
  <c r="E25" i="13"/>
  <c r="D25" i="13"/>
  <c r="C25" i="13"/>
  <c r="R23" i="3"/>
  <c r="H23" i="3"/>
  <c r="G28" i="13" s="1"/>
  <c r="Q28" i="13" s="1"/>
  <c r="D20" i="3"/>
  <c r="AA18" i="13"/>
  <c r="D117" i="11"/>
  <c r="D116" i="11"/>
  <c r="P111" i="11"/>
  <c r="E84" i="11"/>
  <c r="E83" i="11"/>
  <c r="E82" i="11"/>
  <c r="E81" i="11"/>
  <c r="E79" i="11"/>
  <c r="E78" i="11"/>
  <c r="E77" i="11"/>
  <c r="E76" i="11"/>
  <c r="E75" i="11"/>
  <c r="E74" i="11"/>
  <c r="E73" i="11"/>
  <c r="E72" i="11"/>
  <c r="E71" i="11"/>
  <c r="E70" i="11"/>
  <c r="J69" i="11"/>
  <c r="J68" i="11"/>
  <c r="E56" i="11"/>
  <c r="E55" i="11"/>
  <c r="D55" i="11"/>
  <c r="E54" i="11"/>
  <c r="D54" i="11"/>
  <c r="J12" i="11"/>
  <c r="E12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H37" i="11"/>
  <c r="I37" i="11" s="1"/>
  <c r="J37" i="11" s="1"/>
  <c r="E37" i="11"/>
  <c r="E36" i="11"/>
  <c r="E35" i="11"/>
  <c r="E33" i="11"/>
  <c r="J32" i="11"/>
  <c r="E32" i="11"/>
  <c r="D32" i="11"/>
  <c r="E31" i="11"/>
  <c r="E25" i="11"/>
  <c r="J24" i="11"/>
  <c r="E24" i="11"/>
  <c r="E23" i="11"/>
  <c r="E22" i="11"/>
  <c r="E21" i="11"/>
  <c r="E20" i="11"/>
  <c r="E19" i="11"/>
  <c r="C19" i="11"/>
  <c r="E18" i="11"/>
  <c r="E17" i="11"/>
  <c r="E16" i="11"/>
  <c r="E15" i="11"/>
  <c r="E14" i="11"/>
  <c r="E13" i="11"/>
  <c r="I11" i="11"/>
  <c r="E11" i="11"/>
  <c r="I10" i="11"/>
  <c r="J10" i="11" s="1"/>
  <c r="E10" i="11"/>
  <c r="B6" i="11"/>
  <c r="D9" i="11" s="1"/>
  <c r="F84" i="11"/>
  <c r="G84" i="11" s="1"/>
  <c r="H84" i="11" s="1"/>
  <c r="I84" i="11" s="1"/>
  <c r="J84" i="11" s="1"/>
  <c r="C84" i="11"/>
  <c r="F83" i="11"/>
  <c r="G83" i="11" s="1"/>
  <c r="C83" i="11"/>
  <c r="F82" i="11"/>
  <c r="D82" i="11" s="1"/>
  <c r="C82" i="11"/>
  <c r="F81" i="11"/>
  <c r="D81" i="11" s="1"/>
  <c r="C81" i="11"/>
  <c r="F79" i="11"/>
  <c r="G79" i="11" s="1"/>
  <c r="C79" i="11"/>
  <c r="F78" i="11"/>
  <c r="D78" i="11" s="1"/>
  <c r="C78" i="11"/>
  <c r="F51" i="11"/>
  <c r="C51" i="11"/>
  <c r="F50" i="11"/>
  <c r="C50" i="11"/>
  <c r="F56" i="11"/>
  <c r="D56" i="11" s="1"/>
  <c r="F49" i="11"/>
  <c r="C49" i="11"/>
  <c r="F48" i="11"/>
  <c r="C48" i="11"/>
  <c r="C41" i="11"/>
  <c r="F40" i="11"/>
  <c r="C40" i="11"/>
  <c r="C52" i="11"/>
  <c r="F39" i="11"/>
  <c r="C39" i="11"/>
  <c r="C32" i="11"/>
  <c r="F38" i="11"/>
  <c r="C38" i="11"/>
  <c r="C37" i="11"/>
  <c r="F33" i="11"/>
  <c r="C33" i="11"/>
  <c r="F36" i="11"/>
  <c r="C36" i="11"/>
  <c r="F35" i="11"/>
  <c r="C35" i="11"/>
  <c r="C31" i="11"/>
  <c r="C76" i="11"/>
  <c r="F75" i="11"/>
  <c r="G75" i="11" s="1"/>
  <c r="C75" i="11"/>
  <c r="F74" i="11"/>
  <c r="G74" i="11" s="1"/>
  <c r="C74" i="11"/>
  <c r="F73" i="11"/>
  <c r="G73" i="11" s="1"/>
  <c r="C73" i="11"/>
  <c r="F72" i="11"/>
  <c r="D72" i="11" s="1"/>
  <c r="C72" i="11"/>
  <c r="F71" i="11"/>
  <c r="D71" i="11" s="1"/>
  <c r="C71" i="11"/>
  <c r="F70" i="11"/>
  <c r="D70" i="11" s="1"/>
  <c r="C70" i="11"/>
  <c r="F77" i="11"/>
  <c r="G77" i="11" s="1"/>
  <c r="C77" i="11"/>
  <c r="F46" i="11"/>
  <c r="D46" i="11" s="1"/>
  <c r="C46" i="11"/>
  <c r="F25" i="11"/>
  <c r="C25" i="11"/>
  <c r="F47" i="11"/>
  <c r="G47" i="11" s="1"/>
  <c r="C47" i="11"/>
  <c r="F45" i="11"/>
  <c r="D45" i="11" s="1"/>
  <c r="C45" i="11"/>
  <c r="F44" i="11"/>
  <c r="D44" i="11" s="1"/>
  <c r="C44" i="11"/>
  <c r="F43" i="11"/>
  <c r="D43" i="11" s="1"/>
  <c r="C43" i="11"/>
  <c r="F42" i="11"/>
  <c r="D42" i="11" s="1"/>
  <c r="C42" i="11"/>
  <c r="F24" i="11"/>
  <c r="C12" i="11"/>
  <c r="F12" i="11"/>
  <c r="F21" i="11"/>
  <c r="G21" i="11" s="1"/>
  <c r="C21" i="11"/>
  <c r="F53" i="11"/>
  <c r="C53" i="11"/>
  <c r="F18" i="11"/>
  <c r="C18" i="11"/>
  <c r="C16" i="11"/>
  <c r="F15" i="11"/>
  <c r="D15" i="11" s="1"/>
  <c r="C15" i="11"/>
  <c r="C14" i="11"/>
  <c r="F17" i="11"/>
  <c r="F23" i="11"/>
  <c r="C23" i="11"/>
  <c r="C22" i="11"/>
  <c r="F20" i="11"/>
  <c r="D20" i="11" s="1"/>
  <c r="C20" i="11"/>
  <c r="F19" i="11"/>
  <c r="D19" i="11" s="1"/>
  <c r="F13" i="11"/>
  <c r="D13" i="11" s="1"/>
  <c r="C13" i="11"/>
  <c r="C11" i="11"/>
  <c r="F10" i="11"/>
  <c r="D10" i="11" s="1"/>
  <c r="C10" i="11"/>
  <c r="C76" i="10"/>
  <c r="M76" i="10" s="1"/>
  <c r="B75" i="10"/>
  <c r="B87" i="10" s="1"/>
  <c r="L87" i="10" s="1"/>
  <c r="N50" i="10"/>
  <c r="N56" i="10" s="1"/>
  <c r="N62" i="10" s="1"/>
  <c r="N68" i="10" s="1"/>
  <c r="N74" i="10" s="1"/>
  <c r="N80" i="10" s="1"/>
  <c r="N86" i="10" s="1"/>
  <c r="D50" i="10"/>
  <c r="D56" i="10" s="1"/>
  <c r="D62" i="10" s="1"/>
  <c r="D68" i="10" s="1"/>
  <c r="D74" i="10" s="1"/>
  <c r="D80" i="10" s="1"/>
  <c r="D86" i="10" s="1"/>
  <c r="D93" i="10" s="1"/>
  <c r="D99" i="10" s="1"/>
  <c r="D105" i="10" s="1"/>
  <c r="N44" i="10"/>
  <c r="D44" i="10"/>
  <c r="N38" i="10"/>
  <c r="D38" i="10"/>
  <c r="N31" i="10"/>
  <c r="H31" i="10"/>
  <c r="H99" i="10" s="1"/>
  <c r="E31" i="10"/>
  <c r="E50" i="10" s="1"/>
  <c r="E56" i="10" s="1"/>
  <c r="E62" i="10" s="1"/>
  <c r="E68" i="10" s="1"/>
  <c r="E74" i="10" s="1"/>
  <c r="E80" i="10" s="1"/>
  <c r="E86" i="10" s="1"/>
  <c r="E93" i="10" s="1"/>
  <c r="E99" i="10" s="1"/>
  <c r="E105" i="10" s="1"/>
  <c r="P8" i="10"/>
  <c r="O8" i="10"/>
  <c r="N8" i="10"/>
  <c r="M8" i="10"/>
  <c r="P7" i="10"/>
  <c r="O7" i="10"/>
  <c r="N7" i="10"/>
  <c r="M7" i="10"/>
  <c r="I6" i="10"/>
  <c r="H74" i="11" l="1"/>
  <c r="I74" i="11" s="1"/>
  <c r="J74" i="11" s="1"/>
  <c r="H75" i="11"/>
  <c r="I75" i="11" s="1"/>
  <c r="J75" i="11" s="1"/>
  <c r="D48" i="11"/>
  <c r="D25" i="11"/>
  <c r="Q9" i="17"/>
  <c r="Q17" i="17" s="1"/>
  <c r="H95" i="11"/>
  <c r="I95" i="11" s="1"/>
  <c r="J95" i="11" s="1"/>
  <c r="Q11" i="17"/>
  <c r="Q19" i="17" s="1"/>
  <c r="H112" i="11"/>
  <c r="I112" i="11" s="1"/>
  <c r="J112" i="11" s="1"/>
  <c r="Q10" i="17"/>
  <c r="Q18" i="17" s="1"/>
  <c r="H114" i="11"/>
  <c r="I114" i="11" s="1"/>
  <c r="J114" i="11" s="1"/>
  <c r="H50" i="10"/>
  <c r="H86" i="10"/>
  <c r="H38" i="10"/>
  <c r="O44" i="10"/>
  <c r="H62" i="10"/>
  <c r="H80" i="10"/>
  <c r="O31" i="10"/>
  <c r="H74" i="10"/>
  <c r="H93" i="10"/>
  <c r="M33" i="12"/>
  <c r="M39" i="12" s="1"/>
  <c r="C30" i="4"/>
  <c r="C51" i="4" s="1"/>
  <c r="C61" i="4" s="1"/>
  <c r="C71" i="4" s="1"/>
  <c r="C81" i="4" s="1"/>
  <c r="C91" i="4" s="1"/>
  <c r="E44" i="10"/>
  <c r="L75" i="10"/>
  <c r="R31" i="10"/>
  <c r="R44" i="10"/>
  <c r="R56" i="10"/>
  <c r="R68" i="10"/>
  <c r="C82" i="10"/>
  <c r="M82" i="10" s="1"/>
  <c r="C88" i="10"/>
  <c r="M88" i="10" s="1"/>
  <c r="D33" i="12"/>
  <c r="D39" i="12" s="1"/>
  <c r="C21" i="22"/>
  <c r="M33" i="22" s="1"/>
  <c r="O38" i="10"/>
  <c r="O50" i="10"/>
  <c r="O56" i="10" s="1"/>
  <c r="O62" i="10" s="1"/>
  <c r="O68" i="10" s="1"/>
  <c r="O74" i="10" s="1"/>
  <c r="O80" i="10" s="1"/>
  <c r="O86" i="10" s="1"/>
  <c r="D21" i="4"/>
  <c r="E26" i="12"/>
  <c r="M45" i="12"/>
  <c r="M51" i="12" s="1"/>
  <c r="M57" i="12" s="1"/>
  <c r="M63" i="12" s="1"/>
  <c r="M69" i="12" s="1"/>
  <c r="M75" i="12" s="1"/>
  <c r="M81" i="12" s="1"/>
  <c r="C21" i="14"/>
  <c r="C30" i="14" s="1"/>
  <c r="C41" i="14" s="1"/>
  <c r="L41" i="14" s="1"/>
  <c r="L51" i="14" s="1"/>
  <c r="L61" i="14" s="1"/>
  <c r="B7" i="2"/>
  <c r="G26" i="12"/>
  <c r="D88" i="12"/>
  <c r="D94" i="12" s="1"/>
  <c r="G28" i="21"/>
  <c r="Q28" i="21" s="1"/>
  <c r="B81" i="10"/>
  <c r="L81" i="10" s="1"/>
  <c r="H44" i="10"/>
  <c r="H56" i="10"/>
  <c r="H68" i="10"/>
  <c r="H105" i="10"/>
  <c r="E38" i="10"/>
  <c r="I31" i="10"/>
  <c r="R38" i="10"/>
  <c r="R50" i="10"/>
  <c r="R62" i="10"/>
  <c r="R74" i="10"/>
  <c r="R80" i="10"/>
  <c r="R86" i="10"/>
  <c r="S23" i="3"/>
  <c r="C41" i="4"/>
  <c r="N41" i="4" s="1"/>
  <c r="N51" i="4" s="1"/>
  <c r="N61" i="4" s="1"/>
  <c r="N71" i="4" s="1"/>
  <c r="N81" i="4" s="1"/>
  <c r="N91" i="4" s="1"/>
  <c r="M26" i="12"/>
  <c r="D45" i="12"/>
  <c r="D51" i="12" s="1"/>
  <c r="D57" i="12" s="1"/>
  <c r="D63" i="12" s="1"/>
  <c r="D69" i="12" s="1"/>
  <c r="D75" i="12" s="1"/>
  <c r="D81" i="12" s="1"/>
  <c r="M33" i="20"/>
  <c r="G8" i="14"/>
  <c r="D104" i="11"/>
  <c r="H104" i="11"/>
  <c r="I104" i="11" s="1"/>
  <c r="J104" i="11" s="1"/>
  <c r="H124" i="11"/>
  <c r="I124" i="11" s="1"/>
  <c r="J124" i="11" s="1"/>
  <c r="D124" i="11"/>
  <c r="D115" i="11"/>
  <c r="D50" i="11"/>
  <c r="G50" i="11"/>
  <c r="H50" i="11" s="1"/>
  <c r="I50" i="11" s="1"/>
  <c r="D51" i="11"/>
  <c r="G51" i="11"/>
  <c r="H51" i="11" s="1"/>
  <c r="I51" i="11" s="1"/>
  <c r="J51" i="11" s="1"/>
  <c r="G39" i="11"/>
  <c r="D40" i="11"/>
  <c r="G40" i="11"/>
  <c r="D35" i="11"/>
  <c r="G35" i="11"/>
  <c r="D38" i="11"/>
  <c r="G38" i="11"/>
  <c r="G10" i="14"/>
  <c r="O23" i="22"/>
  <c r="C3" i="15"/>
  <c r="C155" i="2"/>
  <c r="E164" i="2"/>
  <c r="M164" i="2"/>
  <c r="K155" i="2"/>
  <c r="F164" i="2"/>
  <c r="N164" i="2"/>
  <c r="F87" i="11"/>
  <c r="D20" i="19"/>
  <c r="D22" i="4"/>
  <c r="D22" i="14" s="1"/>
  <c r="V6" i="3"/>
  <c r="C20" i="21"/>
  <c r="P24" i="11"/>
  <c r="G12" i="14"/>
  <c r="F31" i="11"/>
  <c r="G31" i="11" s="1"/>
  <c r="AE17" i="3"/>
  <c r="G12" i="4"/>
  <c r="D26" i="4"/>
  <c r="D26" i="14" s="1"/>
  <c r="C21" i="13"/>
  <c r="C45" i="14" s="1"/>
  <c r="V6" i="19"/>
  <c r="F22" i="11"/>
  <c r="D22" i="11" s="1"/>
  <c r="F37" i="11"/>
  <c r="F76" i="11"/>
  <c r="D76" i="11" s="1"/>
  <c r="S155" i="2"/>
  <c r="D18" i="11"/>
  <c r="G18" i="11"/>
  <c r="D47" i="11"/>
  <c r="H79" i="11"/>
  <c r="I79" i="11" s="1"/>
  <c r="J79" i="11" s="1"/>
  <c r="D24" i="11"/>
  <c r="F16" i="11"/>
  <c r="D16" i="11" s="1"/>
  <c r="D114" i="11"/>
  <c r="R155" i="2"/>
  <c r="S164" i="2"/>
  <c r="R61" i="2"/>
  <c r="F14" i="11"/>
  <c r="D14" i="11" s="1"/>
  <c r="F52" i="11"/>
  <c r="D52" i="11" s="1"/>
  <c r="F11" i="11"/>
  <c r="M155" i="2"/>
  <c r="D61" i="2"/>
  <c r="L61" i="2"/>
  <c r="F155" i="2"/>
  <c r="N155" i="2"/>
  <c r="H164" i="2"/>
  <c r="P164" i="2"/>
  <c r="J61" i="2"/>
  <c r="C61" i="2"/>
  <c r="K61" i="2"/>
  <c r="E155" i="2"/>
  <c r="E61" i="2"/>
  <c r="M61" i="2"/>
  <c r="G155" i="2"/>
  <c r="O155" i="2"/>
  <c r="I164" i="2"/>
  <c r="D155" i="2"/>
  <c r="F61" i="2"/>
  <c r="N61" i="2"/>
  <c r="H155" i="2"/>
  <c r="P155" i="2"/>
  <c r="J164" i="2"/>
  <c r="G164" i="2"/>
  <c r="O164" i="2"/>
  <c r="G61" i="2"/>
  <c r="O61" i="2"/>
  <c r="I61" i="2"/>
  <c r="I155" i="2"/>
  <c r="C164" i="2"/>
  <c r="K164" i="2"/>
  <c r="R164" i="2"/>
  <c r="L155" i="2"/>
  <c r="H61" i="2"/>
  <c r="P61" i="2"/>
  <c r="J155" i="2"/>
  <c r="D164" i="2"/>
  <c r="L164" i="2"/>
  <c r="D23" i="11"/>
  <c r="D21" i="11"/>
  <c r="G70" i="11"/>
  <c r="D49" i="11"/>
  <c r="D77" i="11"/>
  <c r="D95" i="11"/>
  <c r="H21" i="11"/>
  <c r="I21" i="11" s="1"/>
  <c r="J21" i="11" s="1"/>
  <c r="T10" i="11" s="1"/>
  <c r="H17" i="11"/>
  <c r="I17" i="11" s="1"/>
  <c r="J17" i="11" s="1"/>
  <c r="D17" i="11"/>
  <c r="D12" i="11"/>
  <c r="D39" i="11"/>
  <c r="D75" i="11"/>
  <c r="G19" i="11"/>
  <c r="D36" i="11"/>
  <c r="D74" i="11"/>
  <c r="D79" i="11"/>
  <c r="D84" i="11"/>
  <c r="G71" i="11"/>
  <c r="G78" i="11"/>
  <c r="G20" i="11"/>
  <c r="G13" i="11"/>
  <c r="J11" i="11"/>
  <c r="H77" i="11"/>
  <c r="I77" i="11" s="1"/>
  <c r="J77" i="11" s="1"/>
  <c r="R17" i="11"/>
  <c r="R102" i="11" s="1"/>
  <c r="P22" i="11"/>
  <c r="S20" i="11"/>
  <c r="S105" i="11" s="1"/>
  <c r="P17" i="11"/>
  <c r="Q10" i="11"/>
  <c r="R20" i="11"/>
  <c r="R105" i="11" s="1"/>
  <c r="P10" i="11"/>
  <c r="P20" i="11"/>
  <c r="T17" i="11"/>
  <c r="T102" i="11" s="1"/>
  <c r="Q20" i="11"/>
  <c r="Q105" i="11" s="1"/>
  <c r="P19" i="11"/>
  <c r="G72" i="11"/>
  <c r="D83" i="11"/>
  <c r="D94" i="11"/>
  <c r="H96" i="11"/>
  <c r="I96" i="11" s="1"/>
  <c r="J96" i="11" s="1"/>
  <c r="D96" i="11"/>
  <c r="H103" i="11"/>
  <c r="I103" i="11" s="1"/>
  <c r="J103" i="11" s="1"/>
  <c r="D103" i="11"/>
  <c r="Q17" i="11"/>
  <c r="Q102" i="11" s="1"/>
  <c r="D33" i="11"/>
  <c r="T20" i="11"/>
  <c r="T105" i="11" s="1"/>
  <c r="G81" i="11"/>
  <c r="D53" i="11"/>
  <c r="H39" i="11"/>
  <c r="I39" i="11" s="1"/>
  <c r="J39" i="11" s="1"/>
  <c r="H73" i="11"/>
  <c r="I73" i="11" s="1"/>
  <c r="J73" i="11" s="1"/>
  <c r="S17" i="11"/>
  <c r="S102" i="11" s="1"/>
  <c r="G82" i="11"/>
  <c r="G15" i="11"/>
  <c r="D73" i="11"/>
  <c r="H83" i="11"/>
  <c r="I83" i="11" s="1"/>
  <c r="J83" i="11" s="1"/>
  <c r="M31" i="14"/>
  <c r="C34" i="21"/>
  <c r="D93" i="11"/>
  <c r="E36" i="13"/>
  <c r="D112" i="11"/>
  <c r="C35" i="13"/>
  <c r="AA21" i="13"/>
  <c r="AE20" i="3"/>
  <c r="AA17" i="13"/>
  <c r="AE16" i="3"/>
  <c r="E13" i="22"/>
  <c r="G8" i="4"/>
  <c r="G9" i="14"/>
  <c r="G7" i="14"/>
  <c r="G9" i="4"/>
  <c r="C25" i="21"/>
  <c r="G7" i="4"/>
  <c r="G10" i="4"/>
  <c r="G11" i="14"/>
  <c r="R11" i="4"/>
  <c r="R11" i="14" s="1"/>
  <c r="D23" i="4"/>
  <c r="D23" i="14" s="1"/>
  <c r="D25" i="4"/>
  <c r="G11" i="4"/>
  <c r="R12" i="4"/>
  <c r="R12" i="14" s="1"/>
  <c r="D66" i="14"/>
  <c r="D84" i="14"/>
  <c r="C43" i="14"/>
  <c r="H40" i="11" l="1"/>
  <c r="I40" i="11" s="1"/>
  <c r="J40" i="11" s="1"/>
  <c r="Q22" i="11"/>
  <c r="D134" i="11"/>
  <c r="L84" i="14"/>
  <c r="H20" i="11"/>
  <c r="I20" i="11" s="1"/>
  <c r="J20" i="11" s="1"/>
  <c r="M43" i="14"/>
  <c r="D37" i="11"/>
  <c r="H38" i="11"/>
  <c r="I38" i="11" s="1"/>
  <c r="J38" i="11" s="1"/>
  <c r="H19" i="11"/>
  <c r="I19" i="11" s="1"/>
  <c r="J19" i="11" s="1"/>
  <c r="Q25" i="17"/>
  <c r="H31" i="11"/>
  <c r="I31" i="11" s="1"/>
  <c r="J31" i="11" s="1"/>
  <c r="T13" i="11" s="1"/>
  <c r="C46" i="14"/>
  <c r="C47" i="14" s="1"/>
  <c r="C44" i="14"/>
  <c r="H102" i="11"/>
  <c r="I102" i="11" s="1"/>
  <c r="J102" i="11" s="1"/>
  <c r="D128" i="11"/>
  <c r="C34" i="22"/>
  <c r="L71" i="14"/>
  <c r="L81" i="14" s="1"/>
  <c r="L91" i="14" s="1"/>
  <c r="E88" i="12"/>
  <c r="E39" i="12"/>
  <c r="N45" i="12"/>
  <c r="N51" i="12" s="1"/>
  <c r="N57" i="12" s="1"/>
  <c r="N63" i="12" s="1"/>
  <c r="N69" i="12" s="1"/>
  <c r="N75" i="12" s="1"/>
  <c r="N81" i="12" s="1"/>
  <c r="N33" i="12"/>
  <c r="E33" i="12"/>
  <c r="E100" i="12"/>
  <c r="N26" i="12"/>
  <c r="N39" i="12" s="1"/>
  <c r="E45" i="12"/>
  <c r="E51" i="12" s="1"/>
  <c r="E57" i="12" s="1"/>
  <c r="E63" i="12" s="1"/>
  <c r="E69" i="12" s="1"/>
  <c r="E75" i="12" s="1"/>
  <c r="E81" i="12" s="1"/>
  <c r="E94" i="12" s="1"/>
  <c r="D21" i="20"/>
  <c r="D21" i="14"/>
  <c r="D30" i="14" s="1"/>
  <c r="D21" i="22"/>
  <c r="D30" i="4"/>
  <c r="G33" i="12"/>
  <c r="P26" i="12"/>
  <c r="P81" i="12"/>
  <c r="G45" i="12"/>
  <c r="G81" i="12"/>
  <c r="P75" i="12"/>
  <c r="G69" i="12"/>
  <c r="G63" i="12"/>
  <c r="G57" i="12"/>
  <c r="G51" i="12"/>
  <c r="P33" i="12"/>
  <c r="G88" i="12"/>
  <c r="G75" i="12"/>
  <c r="P63" i="12"/>
  <c r="P51" i="12"/>
  <c r="P57" i="12"/>
  <c r="P69" i="12"/>
  <c r="G39" i="12"/>
  <c r="C51" i="14"/>
  <c r="C71" i="14" s="1"/>
  <c r="C81" i="14" s="1"/>
  <c r="C91" i="14" s="1"/>
  <c r="I105" i="10"/>
  <c r="I68" i="10"/>
  <c r="I56" i="10"/>
  <c r="I44" i="10"/>
  <c r="H26" i="12"/>
  <c r="I93" i="10"/>
  <c r="I80" i="10"/>
  <c r="I74" i="10"/>
  <c r="S68" i="10"/>
  <c r="S56" i="10"/>
  <c r="S44" i="10"/>
  <c r="S31" i="10"/>
  <c r="I86" i="10"/>
  <c r="I50" i="10"/>
  <c r="I38" i="10"/>
  <c r="I62" i="10"/>
  <c r="S62" i="10"/>
  <c r="I99" i="10"/>
  <c r="S38" i="10"/>
  <c r="S86" i="10"/>
  <c r="S50" i="10"/>
  <c r="S80" i="10"/>
  <c r="S74" i="10"/>
  <c r="F136" i="11"/>
  <c r="D133" i="11"/>
  <c r="H133" i="11"/>
  <c r="I133" i="11" s="1"/>
  <c r="J133" i="11" s="1"/>
  <c r="N86" i="4"/>
  <c r="C66" i="4"/>
  <c r="D63" i="4"/>
  <c r="D69" i="10" s="1"/>
  <c r="D85" i="4"/>
  <c r="C46" i="4"/>
  <c r="D43" i="4"/>
  <c r="L85" i="14"/>
  <c r="L65" i="14"/>
  <c r="D43" i="14"/>
  <c r="D83" i="14"/>
  <c r="M63" i="14"/>
  <c r="M64" i="12" s="1"/>
  <c r="M45" i="14"/>
  <c r="M66" i="14"/>
  <c r="C86" i="14"/>
  <c r="L44" i="14"/>
  <c r="L46" i="14"/>
  <c r="D45" i="14"/>
  <c r="M83" i="14"/>
  <c r="M82" i="12" s="1"/>
  <c r="M64" i="14"/>
  <c r="C63" i="14"/>
  <c r="D58" i="12" s="1"/>
  <c r="D44" i="14"/>
  <c r="M85" i="14"/>
  <c r="L43" i="14"/>
  <c r="M40" i="12" s="1"/>
  <c r="C66" i="14"/>
  <c r="D65" i="14"/>
  <c r="C84" i="14"/>
  <c r="L83" i="14"/>
  <c r="M76" i="12" s="1"/>
  <c r="C83" i="14"/>
  <c r="D76" i="12" s="1"/>
  <c r="M65" i="14"/>
  <c r="D86" i="14"/>
  <c r="D63" i="14"/>
  <c r="D64" i="12" s="1"/>
  <c r="D46" i="14"/>
  <c r="L63" i="14"/>
  <c r="M58" i="12" s="1"/>
  <c r="C65" i="14"/>
  <c r="C85" i="14"/>
  <c r="M46" i="14"/>
  <c r="C64" i="14"/>
  <c r="M84" i="14"/>
  <c r="D85" i="14"/>
  <c r="L64" i="14"/>
  <c r="M44" i="14"/>
  <c r="L86" i="14"/>
  <c r="M86" i="14"/>
  <c r="L45" i="14"/>
  <c r="L66" i="14"/>
  <c r="D64" i="14"/>
  <c r="G16" i="11"/>
  <c r="D11" i="11"/>
  <c r="P13" i="11"/>
  <c r="D102" i="11"/>
  <c r="H18" i="11"/>
  <c r="I18" i="11" s="1"/>
  <c r="J18" i="11" s="1"/>
  <c r="T22" i="11" s="1"/>
  <c r="G22" i="11"/>
  <c r="H70" i="11"/>
  <c r="I70" i="11" s="1"/>
  <c r="J70" i="11" s="1"/>
  <c r="D31" i="11"/>
  <c r="H47" i="11"/>
  <c r="I47" i="11" s="1"/>
  <c r="J47" i="11" s="1"/>
  <c r="Q13" i="11"/>
  <c r="G76" i="11"/>
  <c r="G52" i="11"/>
  <c r="R166" i="2"/>
  <c r="N166" i="2"/>
  <c r="E166" i="2"/>
  <c r="S166" i="2"/>
  <c r="D84" i="4"/>
  <c r="O66" i="4"/>
  <c r="O46" i="4"/>
  <c r="N65" i="4"/>
  <c r="N45" i="4"/>
  <c r="C83" i="4"/>
  <c r="D81" i="10" s="1"/>
  <c r="D83" i="4"/>
  <c r="D87" i="10" s="1"/>
  <c r="D66" i="4"/>
  <c r="D46" i="4"/>
  <c r="C65" i="4"/>
  <c r="C45" i="4"/>
  <c r="N83" i="4"/>
  <c r="O65" i="4"/>
  <c r="O45" i="4"/>
  <c r="N64" i="4"/>
  <c r="N44" i="4"/>
  <c r="C84" i="4"/>
  <c r="O86" i="4"/>
  <c r="D65" i="4"/>
  <c r="D45" i="4"/>
  <c r="C64" i="4"/>
  <c r="C44" i="4"/>
  <c r="N84" i="4"/>
  <c r="O85" i="4"/>
  <c r="O64" i="4"/>
  <c r="O44" i="4"/>
  <c r="N63" i="4"/>
  <c r="N63" i="10" s="1"/>
  <c r="N43" i="4"/>
  <c r="C85" i="4"/>
  <c r="O84" i="4"/>
  <c r="D64" i="4"/>
  <c r="D44" i="4"/>
  <c r="C63" i="4"/>
  <c r="C43" i="4"/>
  <c r="D45" i="10" s="1"/>
  <c r="N85" i="4"/>
  <c r="D86" i="4"/>
  <c r="O83" i="4"/>
  <c r="O63" i="4"/>
  <c r="O43" i="4"/>
  <c r="N66" i="4"/>
  <c r="N46" i="4"/>
  <c r="C86" i="4"/>
  <c r="H71" i="11"/>
  <c r="I71" i="11" s="1"/>
  <c r="J71" i="11" s="1"/>
  <c r="G166" i="2"/>
  <c r="M166" i="2"/>
  <c r="G14" i="11"/>
  <c r="H78" i="11"/>
  <c r="I78" i="11" s="1"/>
  <c r="J78" i="11" s="1"/>
  <c r="S10" i="11"/>
  <c r="P166" i="2"/>
  <c r="R10" i="11"/>
  <c r="H166" i="2"/>
  <c r="I166" i="2"/>
  <c r="K166" i="2"/>
  <c r="C166" i="2"/>
  <c r="J166" i="2"/>
  <c r="L166" i="2"/>
  <c r="D166" i="2"/>
  <c r="O166" i="2"/>
  <c r="F166" i="2"/>
  <c r="P104" i="11"/>
  <c r="H13" i="11"/>
  <c r="I13" i="11" s="1"/>
  <c r="J13" i="11" s="1"/>
  <c r="P91" i="11"/>
  <c r="H15" i="11"/>
  <c r="H35" i="11"/>
  <c r="I35" i="11" s="1"/>
  <c r="J35" i="11" s="1"/>
  <c r="P105" i="11"/>
  <c r="H72" i="11"/>
  <c r="I72" i="11" s="1"/>
  <c r="J72" i="11" s="1"/>
  <c r="P102" i="11"/>
  <c r="H82" i="11"/>
  <c r="I82" i="11" s="1"/>
  <c r="J82" i="11" s="1"/>
  <c r="H81" i="11"/>
  <c r="Q19" i="11"/>
  <c r="P107" i="11"/>
  <c r="J50" i="11"/>
  <c r="D82" i="12"/>
  <c r="D40" i="12"/>
  <c r="D46" i="12"/>
  <c r="D25" i="14"/>
  <c r="M46" i="12"/>
  <c r="S13" i="11" l="1"/>
  <c r="H134" i="11"/>
  <c r="I134" i="11" s="1"/>
  <c r="J134" i="11" s="1"/>
  <c r="Q5" i="17"/>
  <c r="Q6" i="17" s="1"/>
  <c r="R13" i="11"/>
  <c r="H128" i="11"/>
  <c r="I128" i="11" s="1"/>
  <c r="J128" i="11" s="1"/>
  <c r="D67" i="14"/>
  <c r="H110" i="11"/>
  <c r="I110" i="11" s="1"/>
  <c r="J110" i="11" s="1"/>
  <c r="L47" i="14"/>
  <c r="P45" i="12"/>
  <c r="P39" i="12"/>
  <c r="H33" i="12"/>
  <c r="H94" i="12"/>
  <c r="Q39" i="12"/>
  <c r="Q33" i="12"/>
  <c r="H100" i="12"/>
  <c r="H45" i="12"/>
  <c r="Q26" i="12"/>
  <c r="H88" i="12"/>
  <c r="H39" i="12"/>
  <c r="Q45" i="12"/>
  <c r="E41" i="4"/>
  <c r="P41" i="4" s="1"/>
  <c r="P51" i="4" s="1"/>
  <c r="P61" i="4" s="1"/>
  <c r="P71" i="4" s="1"/>
  <c r="P81" i="4" s="1"/>
  <c r="P91" i="4" s="1"/>
  <c r="E51" i="4"/>
  <c r="E61" i="4" s="1"/>
  <c r="E71" i="4" s="1"/>
  <c r="E81" i="4" s="1"/>
  <c r="E91" i="4" s="1"/>
  <c r="C61" i="14"/>
  <c r="E41" i="14"/>
  <c r="N41" i="14" s="1"/>
  <c r="N51" i="14" s="1"/>
  <c r="N61" i="14" s="1"/>
  <c r="N71" i="14" s="1"/>
  <c r="N81" i="14" s="1"/>
  <c r="N91" i="14" s="1"/>
  <c r="E61" i="14"/>
  <c r="E71" i="14" s="1"/>
  <c r="E81" i="14" s="1"/>
  <c r="E91" i="14" s="1"/>
  <c r="E51" i="14"/>
  <c r="E34" i="22"/>
  <c r="N33" i="22"/>
  <c r="G94" i="12"/>
  <c r="G100" i="12"/>
  <c r="N33" i="20"/>
  <c r="E34" i="20"/>
  <c r="L87" i="14"/>
  <c r="C87" i="14"/>
  <c r="N51" i="10"/>
  <c r="M47" i="14"/>
  <c r="D47" i="14"/>
  <c r="M67" i="14"/>
  <c r="Q104" i="11"/>
  <c r="H16" i="11"/>
  <c r="I16" i="11" s="1"/>
  <c r="J16" i="11" s="1"/>
  <c r="D51" i="10"/>
  <c r="D39" i="10" s="1"/>
  <c r="H126" i="11"/>
  <c r="I126" i="11" s="1"/>
  <c r="J126" i="11" s="1"/>
  <c r="D126" i="11"/>
  <c r="D127" i="11"/>
  <c r="H127" i="11"/>
  <c r="I127" i="11" s="1"/>
  <c r="J127" i="11" s="1"/>
  <c r="H132" i="11"/>
  <c r="I132" i="11" s="1"/>
  <c r="J132" i="11" s="1"/>
  <c r="D132" i="11"/>
  <c r="C67" i="4"/>
  <c r="P94" i="11"/>
  <c r="C67" i="14"/>
  <c r="D87" i="14"/>
  <c r="L67" i="14"/>
  <c r="M87" i="14"/>
  <c r="D47" i="4"/>
  <c r="N67" i="4"/>
  <c r="D63" i="10"/>
  <c r="C47" i="4"/>
  <c r="C87" i="4"/>
  <c r="D87" i="4"/>
  <c r="N69" i="10"/>
  <c r="O67" i="4"/>
  <c r="O47" i="4"/>
  <c r="N87" i="10"/>
  <c r="H52" i="11"/>
  <c r="I52" i="11" s="1"/>
  <c r="J52" i="11" s="1"/>
  <c r="O87" i="4"/>
  <c r="N81" i="10"/>
  <c r="H14" i="11"/>
  <c r="I14" i="11" s="1"/>
  <c r="S22" i="11"/>
  <c r="D67" i="4"/>
  <c r="N87" i="4"/>
  <c r="R22" i="11"/>
  <c r="D110" i="11"/>
  <c r="H22" i="11"/>
  <c r="I22" i="11" s="1"/>
  <c r="J22" i="11" s="1"/>
  <c r="B5" i="11"/>
  <c r="H76" i="11"/>
  <c r="I76" i="11" s="1"/>
  <c r="J76" i="11" s="1"/>
  <c r="N45" i="10"/>
  <c r="N47" i="4"/>
  <c r="I15" i="11"/>
  <c r="H111" i="11"/>
  <c r="D111" i="11"/>
  <c r="I81" i="11"/>
  <c r="R19" i="11"/>
  <c r="D75" i="10"/>
  <c r="D34" i="12"/>
  <c r="D70" i="12"/>
  <c r="M70" i="12"/>
  <c r="M34" i="12"/>
  <c r="D52" i="12"/>
  <c r="M52" i="12"/>
  <c r="N39" i="10" l="1"/>
  <c r="R104" i="11"/>
  <c r="D57" i="10"/>
  <c r="N57" i="10"/>
  <c r="N75" i="10"/>
  <c r="J15" i="11"/>
  <c r="J14" i="11"/>
  <c r="J81" i="11"/>
  <c r="T19" i="11" s="1"/>
  <c r="T104" i="11" s="1"/>
  <c r="S19" i="11"/>
  <c r="I111" i="11"/>
  <c r="J111" i="11" l="1"/>
  <c r="S104" i="11"/>
  <c r="F61" i="11" l="1"/>
  <c r="D61" i="11" l="1"/>
  <c r="P18" i="11"/>
  <c r="G61" i="11"/>
  <c r="Q18" i="11" l="1"/>
  <c r="Q103" i="11" s="1"/>
  <c r="H61" i="11"/>
  <c r="P103" i="11"/>
  <c r="I61" i="11" l="1"/>
  <c r="R18" i="11"/>
  <c r="R103" i="11" s="1"/>
  <c r="S18" i="11" l="1"/>
  <c r="J61" i="11"/>
  <c r="T18" i="11" s="1"/>
  <c r="T103" i="11" s="1"/>
  <c r="S103" i="11" l="1"/>
  <c r="Q164" i="2" l="1"/>
  <c r="F67" i="11" l="1"/>
  <c r="G67" i="11" l="1"/>
  <c r="D67" i="11"/>
  <c r="P21" i="11"/>
  <c r="P106" i="11" l="1"/>
  <c r="Q21" i="11"/>
  <c r="H67" i="11"/>
  <c r="R21" i="11" l="1"/>
  <c r="I67" i="11"/>
  <c r="J67" i="11" l="1"/>
  <c r="T21" i="11" s="1"/>
  <c r="S21" i="11"/>
  <c r="F63" i="11" l="1"/>
  <c r="F66" i="11"/>
  <c r="F60" i="11"/>
  <c r="G66" i="11" l="1"/>
  <c r="D66" i="11"/>
  <c r="P14" i="11"/>
  <c r="G63" i="11"/>
  <c r="D63" i="11"/>
  <c r="P11" i="11"/>
  <c r="F65" i="11"/>
  <c r="D60" i="11"/>
  <c r="G60" i="11"/>
  <c r="P9" i="11"/>
  <c r="H60" i="11" l="1"/>
  <c r="I60" i="11" s="1"/>
  <c r="J60" i="11" s="1"/>
  <c r="T9" i="11" s="1"/>
  <c r="Q9" i="11"/>
  <c r="P92" i="11"/>
  <c r="R9" i="11"/>
  <c r="H63" i="11"/>
  <c r="Q11" i="11"/>
  <c r="S9" i="11"/>
  <c r="P99" i="11"/>
  <c r="G65" i="11"/>
  <c r="D65" i="11"/>
  <c r="P15" i="11"/>
  <c r="P90" i="11"/>
  <c r="H66" i="11"/>
  <c r="Q14" i="11"/>
  <c r="H65" i="11" l="1"/>
  <c r="Q15" i="11"/>
  <c r="I66" i="11"/>
  <c r="R14" i="11"/>
  <c r="P100" i="11"/>
  <c r="H109" i="11"/>
  <c r="D109" i="11"/>
  <c r="I63" i="11"/>
  <c r="R11" i="11"/>
  <c r="J66" i="11" l="1"/>
  <c r="T14" i="11" s="1"/>
  <c r="S14" i="11"/>
  <c r="I109" i="11"/>
  <c r="J63" i="11"/>
  <c r="T11" i="11" s="1"/>
  <c r="S11" i="11"/>
  <c r="I65" i="11"/>
  <c r="R15" i="11"/>
  <c r="J109" i="11" l="1"/>
  <c r="J65" i="11"/>
  <c r="T15" i="11" s="1"/>
  <c r="S15" i="11"/>
  <c r="F64" i="11" l="1"/>
  <c r="G64" i="11" l="1"/>
  <c r="D64" i="11"/>
  <c r="P16" i="11"/>
  <c r="P101" i="11" l="1"/>
  <c r="H64" i="11"/>
  <c r="I64" i="11" l="1"/>
  <c r="R16" i="11"/>
  <c r="Q155" i="2" l="1"/>
  <c r="J64" i="11"/>
  <c r="S16" i="11"/>
  <c r="T16" i="11" l="1"/>
  <c r="F62" i="11" l="1"/>
  <c r="Q61" i="2"/>
  <c r="Q166" i="2" s="1"/>
  <c r="D62" i="11" l="1"/>
  <c r="D85" i="11" s="1"/>
  <c r="P12" i="11"/>
  <c r="G62" i="11"/>
  <c r="F85" i="11"/>
  <c r="H62" i="11" l="1"/>
  <c r="P93" i="11"/>
  <c r="P108" i="11" s="1"/>
  <c r="Q30" i="17" s="1"/>
  <c r="P23" i="11"/>
  <c r="P110" i="11" l="1"/>
  <c r="I62" i="11"/>
  <c r="R12" i="11"/>
  <c r="R23" i="11" s="1"/>
  <c r="H85" i="11"/>
  <c r="J62" i="11" l="1"/>
  <c r="S12" i="11"/>
  <c r="I85" i="11"/>
  <c r="S23" i="11" l="1"/>
  <c r="T12" i="11"/>
  <c r="J85" i="11"/>
  <c r="T23" i="11" l="1"/>
  <c r="D113" i="11" l="1"/>
  <c r="Q91" i="11"/>
  <c r="H113" i="11"/>
  <c r="D108" i="11"/>
  <c r="H108" i="11"/>
  <c r="Q92" i="11"/>
  <c r="H101" i="11"/>
  <c r="I101" i="11" s="1"/>
  <c r="J101" i="11" s="1"/>
  <c r="D101" i="11"/>
  <c r="I108" i="11" l="1"/>
  <c r="R92" i="11"/>
  <c r="I113" i="11"/>
  <c r="R91" i="11"/>
  <c r="J113" i="11" l="1"/>
  <c r="T91" i="11" s="1"/>
  <c r="S91" i="11"/>
  <c r="J108" i="11"/>
  <c r="T92" i="11" s="1"/>
  <c r="S92" i="11"/>
  <c r="Q106" i="11" l="1"/>
  <c r="D125" i="11"/>
  <c r="H125" i="11"/>
  <c r="I125" i="11" l="1"/>
  <c r="R106" i="11"/>
  <c r="J125" i="11" l="1"/>
  <c r="T106" i="11" s="1"/>
  <c r="S106" i="11"/>
  <c r="H123" i="11" l="1"/>
  <c r="I123" i="11" s="1"/>
  <c r="J123" i="11" s="1"/>
  <c r="D123" i="11"/>
  <c r="Q100" i="11" l="1"/>
  <c r="H122" i="11"/>
  <c r="D122" i="11"/>
  <c r="D121" i="11" l="1"/>
  <c r="H121" i="11"/>
  <c r="I121" i="11" s="1"/>
  <c r="J121" i="11" s="1"/>
  <c r="I122" i="11"/>
  <c r="R100" i="11"/>
  <c r="S100" i="11" l="1"/>
  <c r="J122" i="11"/>
  <c r="T100" i="11" s="1"/>
  <c r="H120" i="11" l="1"/>
  <c r="D120" i="11"/>
  <c r="I120" i="11" l="1"/>
  <c r="J120" i="11" l="1"/>
  <c r="Q16" i="11" l="1"/>
  <c r="D118" i="11" l="1"/>
  <c r="H118" i="11"/>
  <c r="Q101" i="11"/>
  <c r="I118" i="11" l="1"/>
  <c r="R101" i="11"/>
  <c r="J118" i="11" l="1"/>
  <c r="T101" i="11" s="1"/>
  <c r="S101" i="11"/>
  <c r="D119" i="11"/>
  <c r="H119" i="11"/>
  <c r="I119" i="11" l="1"/>
  <c r="R93" i="11"/>
  <c r="J119" i="11" l="1"/>
  <c r="T93" i="11" s="1"/>
  <c r="S93" i="11"/>
  <c r="H106" i="11" l="1"/>
  <c r="D106" i="11"/>
  <c r="Q99" i="11"/>
  <c r="I106" i="11" l="1"/>
  <c r="R99" i="11"/>
  <c r="J106" i="11" l="1"/>
  <c r="T99" i="11" s="1"/>
  <c r="S99" i="11"/>
  <c r="H100" i="11" l="1"/>
  <c r="D100" i="11"/>
  <c r="Q90" i="11"/>
  <c r="I100" i="11" l="1"/>
  <c r="R90" i="11"/>
  <c r="J100" i="11" l="1"/>
  <c r="S90" i="11"/>
  <c r="T90" i="11" l="1"/>
  <c r="Q12" i="17" l="1"/>
  <c r="Q20" i="17" s="1"/>
  <c r="H105" i="11"/>
  <c r="D105" i="11"/>
  <c r="Q94" i="11"/>
  <c r="I105" i="11" l="1"/>
  <c r="R94" i="11"/>
  <c r="J105" i="11" l="1"/>
  <c r="T94" i="11" s="1"/>
  <c r="S94" i="11"/>
  <c r="Q9" i="14" l="1"/>
  <c r="D32" i="4"/>
  <c r="D32" i="14" s="1"/>
  <c r="R9" i="4"/>
  <c r="R9" i="14" s="1"/>
  <c r="Q8" i="14"/>
  <c r="R8" i="4"/>
  <c r="R8" i="14" s="1"/>
  <c r="D34" i="4"/>
  <c r="D34" i="14" s="1"/>
  <c r="D31" i="4" l="1"/>
  <c r="D31" i="14" s="1"/>
  <c r="Q7" i="14"/>
  <c r="R7" i="4"/>
  <c r="R7" i="14" s="1"/>
  <c r="Q10" i="14"/>
  <c r="R10" i="4"/>
  <c r="R10" i="14" s="1"/>
  <c r="D35" i="4"/>
  <c r="D35" i="14" s="1"/>
  <c r="AA13" i="14" l="1"/>
  <c r="AA8" i="14" l="1"/>
  <c r="C35" i="14" l="1"/>
  <c r="C32" i="14" l="1"/>
  <c r="C31" i="14"/>
  <c r="C75" i="4"/>
  <c r="C95" i="4"/>
  <c r="C55" i="4"/>
  <c r="C73" i="4"/>
  <c r="N94" i="4"/>
  <c r="C56" i="4"/>
  <c r="N93" i="4"/>
  <c r="C93" i="4"/>
  <c r="N95" i="4"/>
  <c r="N54" i="4"/>
  <c r="N73" i="4"/>
  <c r="C54" i="4"/>
  <c r="N53" i="4"/>
  <c r="N56" i="4"/>
  <c r="C94" i="4"/>
  <c r="N75" i="4"/>
  <c r="C76" i="4"/>
  <c r="N74" i="4"/>
  <c r="C74" i="4"/>
  <c r="C96" i="4"/>
  <c r="N76" i="4"/>
  <c r="N55" i="4"/>
  <c r="N96" i="4"/>
  <c r="C53" i="4"/>
  <c r="N64" i="10" l="1"/>
  <c r="N77" i="4"/>
  <c r="C57" i="4"/>
  <c r="D46" i="10"/>
  <c r="D82" i="10"/>
  <c r="C97" i="4"/>
  <c r="L53" i="14"/>
  <c r="C56" i="14"/>
  <c r="L95" i="14"/>
  <c r="C53" i="14"/>
  <c r="L74" i="14"/>
  <c r="C73" i="14"/>
  <c r="L93" i="14"/>
  <c r="L75" i="14"/>
  <c r="C96" i="14"/>
  <c r="L96" i="14"/>
  <c r="C55" i="14"/>
  <c r="L94" i="14"/>
  <c r="C74" i="14"/>
  <c r="C76" i="14"/>
  <c r="C75" i="14"/>
  <c r="C94" i="14"/>
  <c r="L54" i="14"/>
  <c r="L76" i="14"/>
  <c r="C95" i="14"/>
  <c r="C93" i="14"/>
  <c r="L55" i="14"/>
  <c r="L56" i="14"/>
  <c r="C54" i="14"/>
  <c r="L73" i="14"/>
  <c r="N82" i="10"/>
  <c r="N97" i="4"/>
  <c r="C34" i="14"/>
  <c r="O76" i="4"/>
  <c r="D55" i="4"/>
  <c r="O73" i="4"/>
  <c r="O54" i="4"/>
  <c r="O53" i="4"/>
  <c r="D95" i="4"/>
  <c r="D74" i="4"/>
  <c r="D75" i="4"/>
  <c r="D53" i="4"/>
  <c r="O95" i="4"/>
  <c r="D96" i="4"/>
  <c r="O56" i="4"/>
  <c r="D94" i="4"/>
  <c r="O74" i="4"/>
  <c r="O94" i="4"/>
  <c r="D54" i="4"/>
  <c r="D76" i="4"/>
  <c r="O75" i="4"/>
  <c r="D56" i="4"/>
  <c r="D73" i="4"/>
  <c r="D93" i="4"/>
  <c r="O93" i="4"/>
  <c r="O55" i="4"/>
  <c r="O96" i="4"/>
  <c r="N57" i="4"/>
  <c r="N46" i="10"/>
  <c r="D64" i="10"/>
  <c r="D65" i="10" s="1"/>
  <c r="C77" i="4"/>
  <c r="N88" i="10" l="1"/>
  <c r="N89" i="10" s="1"/>
  <c r="O97" i="4"/>
  <c r="D77" i="12"/>
  <c r="C97" i="14"/>
  <c r="D41" i="12"/>
  <c r="C57" i="14"/>
  <c r="D47" i="10"/>
  <c r="D97" i="4"/>
  <c r="D88" i="10"/>
  <c r="D76" i="10" s="1"/>
  <c r="N52" i="10"/>
  <c r="N53" i="10" s="1"/>
  <c r="O57" i="4"/>
  <c r="N83" i="10"/>
  <c r="D70" i="10"/>
  <c r="D77" i="4"/>
  <c r="N70" i="10"/>
  <c r="N71" i="10" s="1"/>
  <c r="O77" i="4"/>
  <c r="M41" i="12"/>
  <c r="L57" i="14"/>
  <c r="N47" i="10"/>
  <c r="M59" i="12"/>
  <c r="L77" i="14"/>
  <c r="D57" i="4"/>
  <c r="D52" i="10"/>
  <c r="D53" i="10" s="1"/>
  <c r="M77" i="12"/>
  <c r="L97" i="14"/>
  <c r="D93" i="14"/>
  <c r="D75" i="14"/>
  <c r="M55" i="14"/>
  <c r="M93" i="14"/>
  <c r="M73" i="14"/>
  <c r="M53" i="14"/>
  <c r="D73" i="14"/>
  <c r="M96" i="14"/>
  <c r="M94" i="14"/>
  <c r="M74" i="14"/>
  <c r="D56" i="14"/>
  <c r="D76" i="14"/>
  <c r="M76" i="14"/>
  <c r="D74" i="14"/>
  <c r="D53" i="14"/>
  <c r="D96" i="14"/>
  <c r="M56" i="14"/>
  <c r="M54" i="14"/>
  <c r="D54" i="14"/>
  <c r="M95" i="14"/>
  <c r="D55" i="14"/>
  <c r="D95" i="14"/>
  <c r="D94" i="14"/>
  <c r="M75" i="14"/>
  <c r="D59" i="12"/>
  <c r="C77" i="14"/>
  <c r="D83" i="10"/>
  <c r="N65" i="10"/>
  <c r="N40" i="10" l="1"/>
  <c r="N59" i="10"/>
  <c r="N76" i="10"/>
  <c r="N77" i="10"/>
  <c r="M97" i="14"/>
  <c r="M83" i="12"/>
  <c r="D89" i="10"/>
  <c r="D77" i="10" s="1"/>
  <c r="D78" i="12"/>
  <c r="N41" i="10"/>
  <c r="D60" i="12"/>
  <c r="D83" i="12"/>
  <c r="D84" i="12" s="1"/>
  <c r="D97" i="14"/>
  <c r="M78" i="12"/>
  <c r="D40" i="10"/>
  <c r="D47" i="12"/>
  <c r="D35" i="12" s="1"/>
  <c r="D57" i="14"/>
  <c r="D65" i="12"/>
  <c r="D53" i="12" s="1"/>
  <c r="D77" i="14"/>
  <c r="M60" i="12"/>
  <c r="M42" i="12"/>
  <c r="D41" i="10"/>
  <c r="N58" i="10"/>
  <c r="M47" i="12"/>
  <c r="M35" i="12" s="1"/>
  <c r="M57" i="14"/>
  <c r="M65" i="12"/>
  <c r="M77" i="14"/>
  <c r="D58" i="10"/>
  <c r="D59" i="10" s="1"/>
  <c r="D71" i="10"/>
  <c r="D42" i="12"/>
  <c r="D48" i="12" l="1"/>
  <c r="D36" i="12" s="1"/>
  <c r="D72" i="12"/>
  <c r="D71" i="12"/>
  <c r="M66" i="12"/>
  <c r="M48" i="12"/>
  <c r="M53" i="12"/>
  <c r="M71" i="12"/>
  <c r="M84" i="12"/>
  <c r="D66" i="12"/>
  <c r="M36" i="12" l="1"/>
  <c r="D54" i="12"/>
  <c r="M54" i="12"/>
  <c r="M72" i="12"/>
  <c r="Q15" i="14" l="1"/>
  <c r="Q15" i="4"/>
  <c r="F55" i="4" l="1"/>
  <c r="E75" i="4"/>
  <c r="F94" i="4"/>
  <c r="F53" i="4"/>
  <c r="E73" i="4"/>
  <c r="F96" i="4"/>
  <c r="P56" i="4"/>
  <c r="Q75" i="4"/>
  <c r="P95" i="4"/>
  <c r="P54" i="4"/>
  <c r="Q73" i="4"/>
  <c r="P93" i="4"/>
  <c r="E56" i="4"/>
  <c r="F75" i="4"/>
  <c r="E95" i="4"/>
  <c r="E54" i="4"/>
  <c r="F73" i="4"/>
  <c r="E93" i="4"/>
  <c r="P76" i="4"/>
  <c r="Q95" i="4"/>
  <c r="Q54" i="4"/>
  <c r="P74" i="4"/>
  <c r="Q93" i="4"/>
  <c r="Q56" i="4"/>
  <c r="E76" i="4"/>
  <c r="F95" i="4"/>
  <c r="F54" i="4"/>
  <c r="E74" i="4"/>
  <c r="F93" i="4"/>
  <c r="F56" i="4"/>
  <c r="P96" i="4"/>
  <c r="P55" i="4"/>
  <c r="Q74" i="4"/>
  <c r="P94" i="4"/>
  <c r="P53" i="4"/>
  <c r="Q76" i="4"/>
  <c r="E96" i="4"/>
  <c r="E55" i="4"/>
  <c r="F74" i="4"/>
  <c r="E94" i="4"/>
  <c r="E53" i="4"/>
  <c r="F76" i="4"/>
  <c r="Q55" i="4"/>
  <c r="P75" i="4"/>
  <c r="Q94" i="4"/>
  <c r="Q53" i="4"/>
  <c r="P73" i="4"/>
  <c r="Q96" i="4"/>
  <c r="N95" i="14"/>
  <c r="E75" i="14"/>
  <c r="E54" i="14"/>
  <c r="N56" i="14"/>
  <c r="E55" i="14"/>
  <c r="N76" i="14"/>
  <c r="N96" i="14"/>
  <c r="E95" i="14"/>
  <c r="N73" i="14"/>
  <c r="N74" i="14"/>
  <c r="E56" i="14"/>
  <c r="N75" i="14"/>
  <c r="N53" i="14"/>
  <c r="E96" i="14"/>
  <c r="E76" i="14"/>
  <c r="N93" i="14"/>
  <c r="E94" i="14"/>
  <c r="E73" i="14"/>
  <c r="N54" i="14"/>
  <c r="E53" i="14"/>
  <c r="E74" i="14"/>
  <c r="N55" i="14"/>
  <c r="N94" i="14"/>
  <c r="E93" i="14"/>
  <c r="F75" i="14"/>
  <c r="O55" i="14"/>
  <c r="F94" i="14"/>
  <c r="O75" i="14"/>
  <c r="F76" i="14"/>
  <c r="O95" i="14"/>
  <c r="O76" i="14"/>
  <c r="O56" i="14"/>
  <c r="O54" i="14"/>
  <c r="O73" i="14"/>
  <c r="F55" i="14"/>
  <c r="O53" i="14"/>
  <c r="O74" i="14"/>
  <c r="F96" i="14"/>
  <c r="F95" i="14"/>
  <c r="O96" i="14"/>
  <c r="F73" i="14"/>
  <c r="F53" i="14"/>
  <c r="O93" i="14"/>
  <c r="F74" i="14"/>
  <c r="F93" i="14"/>
  <c r="F56" i="14"/>
  <c r="O94" i="14"/>
  <c r="F54" i="14"/>
  <c r="E52" i="10" l="1"/>
  <c r="F57" i="4"/>
  <c r="O97" i="14"/>
  <c r="N83" i="12"/>
  <c r="O46" i="10"/>
  <c r="P57" i="4"/>
  <c r="Q77" i="4"/>
  <c r="O70" i="10"/>
  <c r="P97" i="4"/>
  <c r="O82" i="10"/>
  <c r="E47" i="12"/>
  <c r="F57" i="14"/>
  <c r="N65" i="12"/>
  <c r="O77" i="14"/>
  <c r="E77" i="14"/>
  <c r="E59" i="12"/>
  <c r="E82" i="10"/>
  <c r="E97" i="4"/>
  <c r="F77" i="14"/>
  <c r="E65" i="12"/>
  <c r="N77" i="14"/>
  <c r="N59" i="12"/>
  <c r="E46" i="10"/>
  <c r="E57" i="4"/>
  <c r="F77" i="4"/>
  <c r="E70" i="10"/>
  <c r="E77" i="12"/>
  <c r="E97" i="14"/>
  <c r="N77" i="12"/>
  <c r="N97" i="14"/>
  <c r="E41" i="12"/>
  <c r="E57" i="14"/>
  <c r="O64" i="10"/>
  <c r="P77" i="4"/>
  <c r="O88" i="10"/>
  <c r="Q97" i="4"/>
  <c r="N47" i="12"/>
  <c r="O57" i="14"/>
  <c r="O52" i="10"/>
  <c r="Q57" i="4"/>
  <c r="F97" i="14"/>
  <c r="E83" i="12"/>
  <c r="N41" i="12"/>
  <c r="N57" i="14"/>
  <c r="F97" i="4"/>
  <c r="E88" i="10"/>
  <c r="E64" i="10"/>
  <c r="E77" i="4"/>
  <c r="E40" i="10" l="1"/>
  <c r="E76" i="10"/>
  <c r="O76" i="10"/>
  <c r="E53" i="12"/>
  <c r="N71" i="12"/>
  <c r="O40" i="10"/>
  <c r="N35" i="12"/>
  <c r="E71" i="12"/>
  <c r="O58" i="10"/>
  <c r="E35" i="12"/>
  <c r="N53" i="12"/>
  <c r="E58" i="10"/>
  <c r="F15" i="14" l="1"/>
  <c r="F15" i="4"/>
  <c r="E83" i="4" l="1"/>
  <c r="Q84" i="4"/>
  <c r="P46" i="4"/>
  <c r="F43" i="4"/>
  <c r="P65" i="4"/>
  <c r="F63" i="4"/>
  <c r="Q64" i="4"/>
  <c r="F83" i="4"/>
  <c r="F45" i="4"/>
  <c r="Q66" i="4"/>
  <c r="P44" i="4"/>
  <c r="F85" i="4"/>
  <c r="P64" i="4"/>
  <c r="P63" i="4"/>
  <c r="P84" i="4"/>
  <c r="E46" i="4"/>
  <c r="E63" i="4"/>
  <c r="E65" i="4"/>
  <c r="E86" i="4"/>
  <c r="E85" i="4"/>
  <c r="Q63" i="4"/>
  <c r="F84" i="4"/>
  <c r="F66" i="4"/>
  <c r="E44" i="4"/>
  <c r="Q65" i="4"/>
  <c r="P86" i="4"/>
  <c r="Q85" i="4"/>
  <c r="E84" i="4"/>
  <c r="F64" i="4"/>
  <c r="F44" i="4"/>
  <c r="P45" i="4"/>
  <c r="P66" i="4"/>
  <c r="P85" i="4"/>
  <c r="Q46" i="4"/>
  <c r="P43" i="4"/>
  <c r="F65" i="4"/>
  <c r="Q86" i="4"/>
  <c r="Q44" i="4"/>
  <c r="P83" i="4"/>
  <c r="E45" i="4"/>
  <c r="E66" i="4"/>
  <c r="Q43" i="4"/>
  <c r="F46" i="4"/>
  <c r="Q83" i="4"/>
  <c r="Q45" i="4"/>
  <c r="F86" i="4"/>
  <c r="E64" i="4"/>
  <c r="E43" i="4"/>
  <c r="N43" i="14"/>
  <c r="E43" i="14"/>
  <c r="O43" i="14"/>
  <c r="N84" i="14"/>
  <c r="E84" i="14"/>
  <c r="N63" i="14"/>
  <c r="N44" i="14"/>
  <c r="E44" i="14"/>
  <c r="O44" i="14"/>
  <c r="N85" i="14"/>
  <c r="E85" i="14"/>
  <c r="E66" i="14"/>
  <c r="N64" i="14"/>
  <c r="N45" i="14"/>
  <c r="E45" i="14"/>
  <c r="O45" i="14"/>
  <c r="E65" i="14"/>
  <c r="N86" i="14"/>
  <c r="E86" i="14"/>
  <c r="N65" i="14"/>
  <c r="E63" i="14"/>
  <c r="N46" i="14"/>
  <c r="E46" i="14"/>
  <c r="O46" i="14"/>
  <c r="E64" i="14"/>
  <c r="N83" i="14"/>
  <c r="E83" i="14"/>
  <c r="N66" i="14"/>
  <c r="F64" i="14"/>
  <c r="F46" i="14"/>
  <c r="O65" i="14"/>
  <c r="O85" i="14"/>
  <c r="F83" i="14"/>
  <c r="O66" i="14"/>
  <c r="O86" i="14"/>
  <c r="F43" i="14"/>
  <c r="O63" i="14"/>
  <c r="O83" i="14"/>
  <c r="F84" i="14"/>
  <c r="O64" i="14"/>
  <c r="O84" i="14"/>
  <c r="F44" i="14"/>
  <c r="F65" i="14"/>
  <c r="F85" i="14"/>
  <c r="F66" i="14"/>
  <c r="F45" i="14"/>
  <c r="F63" i="14"/>
  <c r="F86" i="14"/>
  <c r="E47" i="4" l="1"/>
  <c r="E45" i="10"/>
  <c r="F87" i="4"/>
  <c r="E87" i="10"/>
  <c r="F67" i="14"/>
  <c r="E64" i="12"/>
  <c r="O81" i="10"/>
  <c r="P87" i="4"/>
  <c r="O87" i="14"/>
  <c r="N82" i="12"/>
  <c r="N58" i="12"/>
  <c r="N67" i="14"/>
  <c r="P67" i="4"/>
  <c r="O63" i="10"/>
  <c r="F67" i="4"/>
  <c r="E69" i="10"/>
  <c r="E71" i="10" s="1"/>
  <c r="N64" i="12"/>
  <c r="O67" i="14"/>
  <c r="E67" i="14"/>
  <c r="E58" i="12"/>
  <c r="Q67" i="4"/>
  <c r="O69" i="10"/>
  <c r="O71" i="10" s="1"/>
  <c r="F47" i="14"/>
  <c r="E46" i="12"/>
  <c r="Q87" i="4"/>
  <c r="O87" i="10"/>
  <c r="O89" i="10" s="1"/>
  <c r="E51" i="10"/>
  <c r="E53" i="10" s="1"/>
  <c r="F47" i="4"/>
  <c r="E87" i="14"/>
  <c r="E76" i="12"/>
  <c r="N46" i="12"/>
  <c r="O47" i="14"/>
  <c r="P47" i="4"/>
  <c r="O45" i="10"/>
  <c r="N87" i="14"/>
  <c r="N76" i="12"/>
  <c r="E40" i="12"/>
  <c r="E47" i="14"/>
  <c r="Q47" i="4"/>
  <c r="O51" i="10"/>
  <c r="O53" i="10" s="1"/>
  <c r="E82" i="12"/>
  <c r="F87" i="14"/>
  <c r="N40" i="12"/>
  <c r="N47" i="14"/>
  <c r="E63" i="10"/>
  <c r="E67" i="4"/>
  <c r="E81" i="10"/>
  <c r="E83" i="10" s="1"/>
  <c r="E87" i="4"/>
  <c r="E70" i="12" l="1"/>
  <c r="E84" i="12"/>
  <c r="E65" i="10"/>
  <c r="E57" i="10"/>
  <c r="E59" i="10" s="1"/>
  <c r="E42" i="12"/>
  <c r="E34" i="12"/>
  <c r="N66" i="12"/>
  <c r="N78" i="12"/>
  <c r="N48" i="12"/>
  <c r="E78" i="12"/>
  <c r="N52" i="12"/>
  <c r="N60" i="12"/>
  <c r="O83" i="10"/>
  <c r="O77" i="10" s="1"/>
  <c r="O75" i="10"/>
  <c r="N34" i="12"/>
  <c r="N42" i="12"/>
  <c r="N70" i="12"/>
  <c r="N84" i="12"/>
  <c r="E66" i="12"/>
  <c r="E39" i="10"/>
  <c r="E47" i="10"/>
  <c r="O39" i="10"/>
  <c r="O47" i="10"/>
  <c r="O41" i="10" s="1"/>
  <c r="E48" i="12"/>
  <c r="E60" i="12"/>
  <c r="E52" i="12"/>
  <c r="O65" i="10"/>
  <c r="O57" i="10"/>
  <c r="E75" i="10"/>
  <c r="E89" i="10"/>
  <c r="E77" i="10" s="1"/>
  <c r="E36" i="12" l="1"/>
  <c r="N54" i="12"/>
  <c r="O59" i="10"/>
  <c r="E54" i="12"/>
  <c r="N72" i="12"/>
  <c r="E41" i="10"/>
  <c r="N36" i="12"/>
  <c r="E72" i="12"/>
  <c r="Q12" i="11" l="1"/>
  <c r="G85" i="11" l="1"/>
  <c r="Q23" i="11"/>
  <c r="Q93" i="11"/>
  <c r="Q107" i="11" l="1"/>
  <c r="Q108" i="11" s="1"/>
  <c r="H97" i="11"/>
  <c r="G136" i="11"/>
  <c r="D97" i="11"/>
  <c r="D136" i="11" s="1"/>
  <c r="R107" i="11" l="1"/>
  <c r="R108" i="11" s="1"/>
  <c r="I97" i="11"/>
  <c r="H136" i="11"/>
  <c r="Q31" i="17"/>
  <c r="Q110" i="11"/>
  <c r="J97" i="11" l="1"/>
  <c r="S107" i="11"/>
  <c r="S108" i="11" s="1"/>
  <c r="I136" i="11"/>
  <c r="Q32" i="17"/>
  <c r="R110" i="11"/>
  <c r="T107" i="11" l="1"/>
  <c r="J136" i="11"/>
  <c r="Q33" i="17"/>
  <c r="S110" i="11"/>
  <c r="T108" i="11" l="1"/>
  <c r="Q34" i="17" l="1"/>
  <c r="T110" i="11"/>
  <c r="Z8" i="14" l="1"/>
  <c r="Y8" i="14" l="1"/>
  <c r="AC31" i="13" l="1"/>
  <c r="AC16" i="4"/>
  <c r="AC12" i="14" s="1"/>
  <c r="AA31" i="13"/>
  <c r="H24" i="3"/>
  <c r="Z13" i="14"/>
  <c r="Y15" i="4"/>
  <c r="E32" i="10" l="1"/>
  <c r="O32" i="10"/>
  <c r="G29" i="13"/>
  <c r="E27" i="12"/>
  <c r="Y13" i="14"/>
  <c r="N27" i="12" l="1"/>
  <c r="AA8" i="22"/>
  <c r="AA13" i="22" l="1"/>
  <c r="G9" i="20" l="1"/>
  <c r="F9" i="22"/>
  <c r="D23" i="20"/>
  <c r="D23" i="22" s="1"/>
  <c r="C23" i="22"/>
  <c r="D22" i="20"/>
  <c r="F7" i="22"/>
  <c r="G7" i="20"/>
  <c r="F13" i="22"/>
  <c r="D25" i="20"/>
  <c r="D25" i="22" s="1"/>
  <c r="G13" i="20"/>
  <c r="G11" i="20"/>
  <c r="F11" i="22"/>
  <c r="D24" i="20"/>
  <c r="C25" i="22"/>
  <c r="D24" i="22" l="1"/>
  <c r="F36" i="20"/>
  <c r="F37" i="20"/>
  <c r="E107" i="10" s="1"/>
  <c r="F38" i="20"/>
  <c r="E108" i="10" s="1"/>
  <c r="G9" i="22"/>
  <c r="G11" i="22"/>
  <c r="G7" i="22"/>
  <c r="C22" i="22"/>
  <c r="C36" i="20"/>
  <c r="C38" i="20"/>
  <c r="D102" i="10" s="1"/>
  <c r="C37" i="20"/>
  <c r="D101" i="10" s="1"/>
  <c r="D37" i="20"/>
  <c r="D107" i="10" s="1"/>
  <c r="C24" i="22"/>
  <c r="D36" i="20"/>
  <c r="D38" i="20"/>
  <c r="D108" i="10" s="1"/>
  <c r="AB31" i="13"/>
  <c r="D22" i="22"/>
  <c r="E37" i="20"/>
  <c r="E101" i="10" s="1"/>
  <c r="E38" i="20"/>
  <c r="E102" i="10" s="1"/>
  <c r="E36" i="20"/>
  <c r="G13" i="22"/>
  <c r="E95" i="10" l="1"/>
  <c r="E96" i="10"/>
  <c r="D95" i="10"/>
  <c r="D39" i="20"/>
  <c r="D106" i="10"/>
  <c r="D37" i="22"/>
  <c r="D102" i="12" s="1"/>
  <c r="D36" i="22"/>
  <c r="D38" i="22"/>
  <c r="D103" i="12" s="1"/>
  <c r="E39" i="20"/>
  <c r="E100" i="10"/>
  <c r="D96" i="10"/>
  <c r="Z31" i="13"/>
  <c r="D27" i="12" s="1"/>
  <c r="D32" i="10"/>
  <c r="M27" i="12" s="1"/>
  <c r="D100" i="10"/>
  <c r="C39" i="20"/>
  <c r="F39" i="20"/>
  <c r="E106" i="10"/>
  <c r="E38" i="22"/>
  <c r="E97" i="12" s="1"/>
  <c r="E36" i="22"/>
  <c r="E37" i="22"/>
  <c r="E96" i="12" s="1"/>
  <c r="C38" i="22"/>
  <c r="D97" i="12" s="1"/>
  <c r="C37" i="22"/>
  <c r="D96" i="12" s="1"/>
  <c r="C36" i="22"/>
  <c r="F37" i="22"/>
  <c r="E102" i="12" s="1"/>
  <c r="F38" i="22"/>
  <c r="E103" i="12" s="1"/>
  <c r="F36" i="22"/>
  <c r="D94" i="10" l="1"/>
  <c r="E90" i="12"/>
  <c r="E95" i="12"/>
  <c r="E39" i="22"/>
  <c r="F39" i="22"/>
  <c r="E101" i="12"/>
  <c r="E91" i="12"/>
  <c r="E94" i="10"/>
  <c r="D101" i="12"/>
  <c r="D39" i="22"/>
  <c r="D95" i="12"/>
  <c r="C39" i="22"/>
  <c r="D90" i="12"/>
  <c r="D91" i="12"/>
  <c r="Z8" i="22"/>
  <c r="D89" i="12" l="1"/>
  <c r="E89" i="12"/>
  <c r="Y8" i="22" l="1"/>
  <c r="Y15" i="20"/>
  <c r="Z13" i="22"/>
  <c r="Z30" i="21" l="1"/>
  <c r="AC16" i="20"/>
  <c r="AC12" i="22" s="1"/>
  <c r="Y30" i="21"/>
  <c r="Y13" i="22"/>
  <c r="X30" i="21" l="1"/>
  <c r="H24" i="19"/>
  <c r="AC32" i="13" l="1"/>
  <c r="AF27" i="19"/>
  <c r="Z31" i="21" s="1"/>
  <c r="W30" i="21"/>
  <c r="D28" i="12" s="1"/>
  <c r="D33" i="10"/>
  <c r="M28" i="12" s="1"/>
  <c r="AA32" i="13"/>
  <c r="AD27" i="19"/>
  <c r="H25" i="3"/>
  <c r="E33" i="10"/>
  <c r="O33" i="10"/>
  <c r="G29" i="21"/>
  <c r="E28" i="12"/>
  <c r="X31" i="21" l="1"/>
  <c r="G30" i="21" s="1"/>
  <c r="H25" i="19"/>
  <c r="G30" i="13"/>
  <c r="E29" i="12"/>
  <c r="AB32" i="13"/>
  <c r="AE27" i="19"/>
  <c r="Y31" i="21" s="1"/>
  <c r="N28" i="12"/>
  <c r="AC27" i="19"/>
  <c r="W31" i="21" s="1"/>
  <c r="D34" i="10"/>
  <c r="Z32" i="13"/>
  <c r="D29" i="12" s="1"/>
  <c r="E34" i="10"/>
  <c r="O34" i="10" l="1"/>
  <c r="H30" i="21"/>
  <c r="H30" i="13"/>
  <c r="N29" i="12"/>
  <c r="M29" i="12" l="1"/>
  <c r="I30" i="21"/>
  <c r="R30" i="21"/>
  <c r="S30" i="21" s="1"/>
  <c r="F29" i="12"/>
  <c r="I30" i="13"/>
  <c r="R30" i="13"/>
  <c r="S30" i="13" l="1"/>
  <c r="O29" i="12"/>
  <c r="G29" i="12"/>
  <c r="H29" i="12"/>
  <c r="P29" i="12" l="1"/>
  <c r="Q29" i="12"/>
  <c r="D6" i="19"/>
  <c r="J14" i="19" s="1"/>
  <c r="C6" i="19"/>
  <c r="J11" i="19" s="1"/>
  <c r="D6" i="3"/>
  <c r="J14" i="3" s="1"/>
  <c r="C6" i="3"/>
  <c r="J11" i="3" s="1"/>
  <c r="AD18" i="19"/>
  <c r="AE18" i="19" s="1"/>
  <c r="AD18" i="3"/>
  <c r="AE18" i="3" s="1"/>
  <c r="J6" i="3"/>
  <c r="T6" i="19"/>
  <c r="S6" i="21" s="1"/>
  <c r="S10" i="21" s="1"/>
  <c r="T6" i="3"/>
  <c r="S6" i="13" s="1"/>
  <c r="S10" i="13" s="1"/>
  <c r="H6" i="19"/>
  <c r="H6" i="3"/>
  <c r="K6" i="3"/>
  <c r="J6" i="13" s="1"/>
  <c r="J10" i="13" s="1"/>
  <c r="K6" i="19"/>
  <c r="Q6" i="3"/>
  <c r="P6" i="13"/>
  <c r="P10" i="13" s="1"/>
  <c r="Q6" i="19"/>
  <c r="U6" i="3"/>
  <c r="T6" i="13" s="1"/>
  <c r="T10" i="13" s="1"/>
  <c r="U6" i="19"/>
  <c r="T6" i="21" s="1"/>
  <c r="T10" i="21" s="1"/>
  <c r="M6" i="3"/>
  <c r="L6" i="13" s="1"/>
  <c r="L10" i="13" s="1"/>
  <c r="M6" i="19"/>
  <c r="L6" i="21" s="1"/>
  <c r="L10" i="21" s="1"/>
  <c r="D17" i="19"/>
  <c r="S14" i="19" s="1"/>
  <c r="D17" i="3"/>
  <c r="S14" i="3" s="1"/>
  <c r="S13" i="3" s="1"/>
  <c r="N6" i="3"/>
  <c r="N6" i="19"/>
  <c r="R6" i="3"/>
  <c r="R13" i="3" s="1"/>
  <c r="R6" i="19"/>
  <c r="Q6" i="21"/>
  <c r="Q10" i="21" s="1"/>
  <c r="O6" i="3"/>
  <c r="O13" i="3" s="1"/>
  <c r="N6" i="13"/>
  <c r="N10" i="13" s="1"/>
  <c r="O6" i="19"/>
  <c r="N6" i="21"/>
  <c r="N10" i="21" s="1"/>
  <c r="R6" i="13"/>
  <c r="R10" i="13" s="1"/>
  <c r="S6" i="3"/>
  <c r="S6" i="19"/>
  <c r="R6" i="21"/>
  <c r="R10" i="21" s="1"/>
  <c r="D8" i="3"/>
  <c r="L14" i="3" s="1"/>
  <c r="L13" i="3" s="1"/>
  <c r="D8" i="19"/>
  <c r="L14" i="19" s="1"/>
  <c r="D4" i="19"/>
  <c r="H14" i="19" s="1"/>
  <c r="D4" i="3"/>
  <c r="C7" i="3"/>
  <c r="K11" i="3" s="1"/>
  <c r="C7" i="19"/>
  <c r="K11" i="19" s="1"/>
  <c r="C11" i="3"/>
  <c r="O11" i="3" s="1"/>
  <c r="O10" i="3" s="1"/>
  <c r="C4" i="3"/>
  <c r="H11" i="3" s="1"/>
  <c r="C4" i="19"/>
  <c r="I3" i="10"/>
  <c r="F28" i="13" s="1"/>
  <c r="P28" i="13" s="1"/>
  <c r="D9" i="19"/>
  <c r="M14" i="19" s="1"/>
  <c r="M13" i="19" s="1"/>
  <c r="D9" i="3"/>
  <c r="M14" i="3" s="1"/>
  <c r="M13" i="3" s="1"/>
  <c r="D7" i="19"/>
  <c r="D7" i="3"/>
  <c r="K14" i="3" s="1"/>
  <c r="K13" i="3" s="1"/>
  <c r="O14" i="19"/>
  <c r="D11" i="19"/>
  <c r="D11" i="3"/>
  <c r="O14" i="3" s="1"/>
  <c r="D10" i="3"/>
  <c r="N14" i="3" s="1"/>
  <c r="D10" i="19"/>
  <c r="N14" i="19" s="1"/>
  <c r="N13" i="19" s="1"/>
  <c r="D16" i="19"/>
  <c r="Q14" i="19" s="1"/>
  <c r="D16" i="3"/>
  <c r="Q14" i="3" s="1"/>
  <c r="Q13" i="3" s="1"/>
  <c r="D5" i="3"/>
  <c r="I14" i="3" s="1"/>
  <c r="I14" i="19"/>
  <c r="D5" i="19"/>
  <c r="C11" i="19"/>
  <c r="O11" i="19" s="1"/>
  <c r="C10" i="3"/>
  <c r="N11" i="3" s="1"/>
  <c r="C10" i="19"/>
  <c r="N11" i="19" s="1"/>
  <c r="M11" i="3"/>
  <c r="C9" i="3"/>
  <c r="C9" i="19"/>
  <c r="M11" i="19" s="1"/>
  <c r="M10" i="19" s="1"/>
  <c r="C16" i="19"/>
  <c r="Q11" i="19" s="1"/>
  <c r="C16" i="3"/>
  <c r="Q11" i="3" s="1"/>
  <c r="Q10" i="3" s="1"/>
  <c r="D13" i="3"/>
  <c r="U14" i="3" s="1"/>
  <c r="U13" i="3" s="1"/>
  <c r="D13" i="19"/>
  <c r="U14" i="19" s="1"/>
  <c r="C13" i="19"/>
  <c r="U11" i="19" s="1"/>
  <c r="C13" i="3"/>
  <c r="U11" i="3" s="1"/>
  <c r="R14" i="3"/>
  <c r="D14" i="3"/>
  <c r="D14" i="19"/>
  <c r="R14" i="19" s="1"/>
  <c r="R13" i="19" s="1"/>
  <c r="C14" i="19"/>
  <c r="R11" i="19" s="1"/>
  <c r="R10" i="19" s="1"/>
  <c r="C14" i="3"/>
  <c r="R11" i="3" s="1"/>
  <c r="C17" i="19"/>
  <c r="S11" i="19" s="1"/>
  <c r="C17" i="3"/>
  <c r="S11" i="3" s="1"/>
  <c r="D12" i="3"/>
  <c r="P14" i="3" s="1"/>
  <c r="L11" i="19"/>
  <c r="C8" i="19"/>
  <c r="L6" i="19"/>
  <c r="L10" i="19" s="1"/>
  <c r="D15" i="19"/>
  <c r="T14" i="19" s="1"/>
  <c r="D12" i="19"/>
  <c r="P14" i="19" s="1"/>
  <c r="P13" i="19" s="1"/>
  <c r="C8" i="3"/>
  <c r="L11" i="3" s="1"/>
  <c r="L6" i="3"/>
  <c r="K6" i="13" s="1"/>
  <c r="K10" i="13" s="1"/>
  <c r="C5" i="3"/>
  <c r="I11" i="3" s="1"/>
  <c r="C5" i="19"/>
  <c r="I11" i="19" s="1"/>
  <c r="D15" i="3"/>
  <c r="T14" i="3" s="1"/>
  <c r="C12" i="19"/>
  <c r="P11" i="19" s="1"/>
  <c r="C12" i="3"/>
  <c r="P11" i="3" s="1"/>
  <c r="C15" i="3"/>
  <c r="T11" i="3" s="1"/>
  <c r="C15" i="19"/>
  <c r="T11" i="19" s="1"/>
  <c r="T10" i="19" s="1"/>
  <c r="R25" i="19"/>
  <c r="P30" i="21" s="1"/>
  <c r="I6" i="19"/>
  <c r="I13" i="19" s="1"/>
  <c r="I7" i="10"/>
  <c r="G24" i="3"/>
  <c r="F29" i="13" s="1"/>
  <c r="G24" i="19"/>
  <c r="F29" i="21" s="1"/>
  <c r="P30" i="13"/>
  <c r="R25" i="3"/>
  <c r="R24" i="19"/>
  <c r="P29" i="21" s="1"/>
  <c r="G25" i="19"/>
  <c r="F30" i="21" s="1"/>
  <c r="G25" i="3"/>
  <c r="F30" i="13" s="1"/>
  <c r="G38" i="10"/>
  <c r="Q38" i="10"/>
  <c r="F50" i="10"/>
  <c r="Q56" i="10"/>
  <c r="Q68" i="10"/>
  <c r="G80" i="10"/>
  <c r="G93" i="10"/>
  <c r="I6" i="3"/>
  <c r="H6" i="13"/>
  <c r="H10" i="13" s="1"/>
  <c r="P31" i="10"/>
  <c r="G50" i="10"/>
  <c r="F62" i="10"/>
  <c r="F74" i="10"/>
  <c r="P80" i="10"/>
  <c r="F99" i="10"/>
  <c r="P6" i="3"/>
  <c r="Q31" i="10"/>
  <c r="F44" i="10"/>
  <c r="G62" i="10"/>
  <c r="G74" i="10"/>
  <c r="Q80" i="10"/>
  <c r="G99" i="10"/>
  <c r="P6" i="19"/>
  <c r="O6" i="21" s="1"/>
  <c r="O10" i="21" s="1"/>
  <c r="F31" i="10"/>
  <c r="G44" i="10"/>
  <c r="P50" i="10"/>
  <c r="P62" i="10"/>
  <c r="P74" i="10"/>
  <c r="F86" i="10"/>
  <c r="F105" i="10"/>
  <c r="F38" i="10"/>
  <c r="Q50" i="10"/>
  <c r="Q62" i="10"/>
  <c r="Q74" i="10"/>
  <c r="G86" i="10"/>
  <c r="G105" i="10"/>
  <c r="G23" i="3"/>
  <c r="G23" i="19"/>
  <c r="F68" i="10"/>
  <c r="P86" i="10"/>
  <c r="P29" i="13"/>
  <c r="R24" i="3"/>
  <c r="F56" i="10"/>
  <c r="G31" i="10"/>
  <c r="Q44" i="10"/>
  <c r="G56" i="10"/>
  <c r="G68" i="10"/>
  <c r="Q86" i="10"/>
  <c r="P44" i="10"/>
  <c r="P38" i="10"/>
  <c r="P56" i="10"/>
  <c r="P68" i="10"/>
  <c r="F80" i="10"/>
  <c r="F93" i="10"/>
  <c r="J6" i="19"/>
  <c r="U10" i="3" l="1"/>
  <c r="K6" i="21"/>
  <c r="K10" i="21" s="1"/>
  <c r="D18" i="3"/>
  <c r="S10" i="19"/>
  <c r="S13" i="19"/>
  <c r="Q10" i="19"/>
  <c r="D18" i="19"/>
  <c r="C18" i="19"/>
  <c r="H14" i="3"/>
  <c r="H13" i="3" s="1"/>
  <c r="P10" i="3"/>
  <c r="C18" i="3"/>
  <c r="M10" i="3"/>
  <c r="K10" i="19"/>
  <c r="J10" i="3"/>
  <c r="L10" i="3"/>
  <c r="F28" i="21"/>
  <c r="P28" i="21" s="1"/>
  <c r="H10" i="3"/>
  <c r="V20" i="3"/>
  <c r="W20" i="3" s="1"/>
  <c r="K10" i="3"/>
  <c r="I25" i="3"/>
  <c r="AA18" i="4"/>
  <c r="AA19" i="4" s="1"/>
  <c r="AA19" i="3"/>
  <c r="AA11" i="4" s="1"/>
  <c r="AA12" i="4" s="1"/>
  <c r="V11" i="3"/>
  <c r="X11" i="3" s="1"/>
  <c r="AA20" i="19"/>
  <c r="S10" i="3"/>
  <c r="T13" i="19"/>
  <c r="J25" i="3"/>
  <c r="X20" i="3"/>
  <c r="Y20" i="3" s="1"/>
  <c r="R10" i="3"/>
  <c r="T13" i="3"/>
  <c r="I13" i="3"/>
  <c r="O10" i="19"/>
  <c r="N10" i="19"/>
  <c r="U13" i="19"/>
  <c r="V20" i="19"/>
  <c r="W20" i="19" s="1"/>
  <c r="N10" i="3"/>
  <c r="Z19" i="3"/>
  <c r="AA9" i="4" s="1"/>
  <c r="AA10" i="4" s="1"/>
  <c r="AA16" i="4"/>
  <c r="AA17" i="4" s="1"/>
  <c r="M6" i="21"/>
  <c r="M10" i="21" s="1"/>
  <c r="J25" i="19"/>
  <c r="P10" i="19"/>
  <c r="I10" i="3"/>
  <c r="P13" i="3"/>
  <c r="L13" i="19"/>
  <c r="Q6" i="13"/>
  <c r="Q10" i="13" s="1"/>
  <c r="U10" i="19"/>
  <c r="P6" i="21"/>
  <c r="P10" i="21" s="1"/>
  <c r="J13" i="3"/>
  <c r="I6" i="21"/>
  <c r="I10" i="21" s="1"/>
  <c r="J10" i="19"/>
  <c r="K14" i="19"/>
  <c r="K13" i="19" s="1"/>
  <c r="H3" i="12"/>
  <c r="H7" i="12" s="1"/>
  <c r="H11" i="19"/>
  <c r="AA20" i="3"/>
  <c r="M6" i="13"/>
  <c r="M10" i="13" s="1"/>
  <c r="H13" i="19"/>
  <c r="G6" i="21"/>
  <c r="G10" i="21" s="1"/>
  <c r="V14" i="3"/>
  <c r="X14" i="3" s="1"/>
  <c r="Q13" i="19"/>
  <c r="O13" i="19"/>
  <c r="J6" i="21"/>
  <c r="J10" i="21" s="1"/>
  <c r="T10" i="3"/>
  <c r="J13" i="19"/>
  <c r="O6" i="13"/>
  <c r="O10" i="13" s="1"/>
  <c r="H6" i="21"/>
  <c r="H10" i="21" s="1"/>
  <c r="I10" i="19"/>
  <c r="Z20" i="3"/>
  <c r="N13" i="3"/>
  <c r="G6" i="13"/>
  <c r="G10" i="13" s="1"/>
  <c r="I6" i="13"/>
  <c r="I10" i="13" s="1"/>
  <c r="I25" i="19"/>
  <c r="Z16" i="4" l="1"/>
  <c r="V19" i="3"/>
  <c r="W19" i="3" s="1"/>
  <c r="Z9" i="4" s="1"/>
  <c r="Z10" i="4" s="1"/>
  <c r="V10" i="3"/>
  <c r="X10" i="3" s="1"/>
  <c r="V13" i="3"/>
  <c r="X13" i="3" s="1"/>
  <c r="X20" i="19"/>
  <c r="Y20" i="19" s="1"/>
  <c r="Y16" i="4"/>
  <c r="Y17" i="4" s="1"/>
  <c r="AD16" i="4" s="1"/>
  <c r="Z17" i="4"/>
  <c r="Y9" i="4"/>
  <c r="Y10" i="4" s="1"/>
  <c r="W20" i="13"/>
  <c r="X20" i="13" s="1"/>
  <c r="AA9" i="14" s="1"/>
  <c r="U10" i="13"/>
  <c r="Z16" i="20"/>
  <c r="V19" i="19"/>
  <c r="W19" i="19" s="1"/>
  <c r="AA19" i="19"/>
  <c r="AA11" i="20" s="1"/>
  <c r="AA12" i="20" s="1"/>
  <c r="AA18" i="20"/>
  <c r="AA19" i="20" s="1"/>
  <c r="V13" i="19"/>
  <c r="I24" i="3"/>
  <c r="G34" i="10"/>
  <c r="U25" i="3"/>
  <c r="L25" i="3"/>
  <c r="W20" i="21"/>
  <c r="AA9" i="22" s="1"/>
  <c r="U10" i="21"/>
  <c r="X19" i="19"/>
  <c r="Y19" i="19" s="1"/>
  <c r="J24" i="19"/>
  <c r="Z18" i="20"/>
  <c r="H29" i="13"/>
  <c r="U20" i="13"/>
  <c r="V20" i="13" s="1"/>
  <c r="T25" i="3"/>
  <c r="K25" i="3"/>
  <c r="F34" i="10"/>
  <c r="V11" i="19"/>
  <c r="Z20" i="19"/>
  <c r="H10" i="19"/>
  <c r="H29" i="21"/>
  <c r="U20" i="21"/>
  <c r="U25" i="19"/>
  <c r="W25" i="19" s="1"/>
  <c r="L25" i="19"/>
  <c r="V14" i="19"/>
  <c r="T25" i="19"/>
  <c r="V25" i="19" s="1"/>
  <c r="K25" i="19"/>
  <c r="J24" i="3"/>
  <c r="X19" i="3"/>
  <c r="Y19" i="3" s="1"/>
  <c r="Z18" i="4"/>
  <c r="Z9" i="20" l="1"/>
  <c r="Z10" i="20" s="1"/>
  <c r="P34" i="10"/>
  <c r="V25" i="3"/>
  <c r="Z17" i="20"/>
  <c r="R29" i="13"/>
  <c r="F27" i="12"/>
  <c r="I29" i="13"/>
  <c r="J34" i="10"/>
  <c r="I34" i="10"/>
  <c r="H34" i="10"/>
  <c r="Z19" i="4"/>
  <c r="Y18" i="4"/>
  <c r="Y19" i="4" s="1"/>
  <c r="AE16" i="4" s="1"/>
  <c r="Z19" i="19"/>
  <c r="AA9" i="20" s="1"/>
  <c r="AA10" i="20" s="1"/>
  <c r="V10" i="19"/>
  <c r="AA16" i="20"/>
  <c r="AA17" i="20" s="1"/>
  <c r="L24" i="3"/>
  <c r="U24" i="3"/>
  <c r="G32" i="10"/>
  <c r="U24" i="19"/>
  <c r="G33" i="10"/>
  <c r="L24" i="19"/>
  <c r="Z9" i="14"/>
  <c r="Y9" i="14"/>
  <c r="Y10" i="14" s="1"/>
  <c r="I29" i="21"/>
  <c r="R29" i="21"/>
  <c r="F28" i="12"/>
  <c r="AA14" i="14"/>
  <c r="AA15" i="14" s="1"/>
  <c r="AA10" i="14"/>
  <c r="Z11" i="20"/>
  <c r="Z12" i="20" s="1"/>
  <c r="Y11" i="20"/>
  <c r="Y12" i="20" s="1"/>
  <c r="Z9" i="22"/>
  <c r="Y9" i="22"/>
  <c r="Y10" i="22" s="1"/>
  <c r="Q34" i="10"/>
  <c r="W25" i="3"/>
  <c r="Z11" i="4"/>
  <c r="Z12" i="4" s="1"/>
  <c r="Y11" i="4"/>
  <c r="Y12" i="4" s="1"/>
  <c r="Z19" i="20"/>
  <c r="Y18" i="20"/>
  <c r="Y19" i="20" s="1"/>
  <c r="AE16" i="20" s="1"/>
  <c r="F32" i="10"/>
  <c r="K24" i="3"/>
  <c r="Y21" i="4"/>
  <c r="T24" i="3"/>
  <c r="AA14" i="22"/>
  <c r="AA15" i="22" s="1"/>
  <c r="AA10" i="22"/>
  <c r="I24" i="19"/>
  <c r="S12" i="4"/>
  <c r="H7" i="4"/>
  <c r="H9" i="4"/>
  <c r="S11" i="4"/>
  <c r="H8" i="4"/>
  <c r="H11" i="4"/>
  <c r="I11" i="4" s="1"/>
  <c r="H10" i="4"/>
  <c r="H12" i="4"/>
  <c r="I12" i="4" s="1"/>
  <c r="Y16" i="20" l="1"/>
  <c r="Y17" i="20" s="1"/>
  <c r="AD16" i="20" s="1"/>
  <c r="T24" i="19"/>
  <c r="K24" i="19"/>
  <c r="F33" i="10"/>
  <c r="J33" i="10" s="1"/>
  <c r="G27" i="12"/>
  <c r="H27" i="12"/>
  <c r="O27" i="12"/>
  <c r="S29" i="13"/>
  <c r="J10" i="4"/>
  <c r="J8" i="4"/>
  <c r="J9" i="4"/>
  <c r="J7" i="4"/>
  <c r="J11" i="4"/>
  <c r="K11" i="4" s="1"/>
  <c r="J12" i="4"/>
  <c r="K12" i="4" s="1"/>
  <c r="Q33" i="10"/>
  <c r="W24" i="19"/>
  <c r="E25" i="4"/>
  <c r="I8" i="4"/>
  <c r="S8" i="4"/>
  <c r="P32" i="10"/>
  <c r="V24" i="3"/>
  <c r="G28" i="12"/>
  <c r="H28" i="12"/>
  <c r="J32" i="10"/>
  <c r="I32" i="10"/>
  <c r="H32" i="10"/>
  <c r="H9" i="20"/>
  <c r="H11" i="20"/>
  <c r="H7" i="20"/>
  <c r="H13" i="20"/>
  <c r="T34" i="10"/>
  <c r="R34" i="10"/>
  <c r="S34" i="10"/>
  <c r="O28" i="12"/>
  <c r="S29" i="21"/>
  <c r="Y22" i="4"/>
  <c r="E26" i="4"/>
  <c r="I10" i="4"/>
  <c r="S10" i="4"/>
  <c r="I33" i="10"/>
  <c r="H33" i="10"/>
  <c r="U11" i="4"/>
  <c r="V11" i="4" s="1"/>
  <c r="T11" i="4"/>
  <c r="I9" i="4"/>
  <c r="S9" i="4"/>
  <c r="E23" i="4"/>
  <c r="Q32" i="10"/>
  <c r="W24" i="3"/>
  <c r="Z10" i="22"/>
  <c r="Z14" i="22"/>
  <c r="Y9" i="20"/>
  <c r="Y10" i="20" s="1"/>
  <c r="S7" i="4"/>
  <c r="E22" i="4"/>
  <c r="I7" i="4"/>
  <c r="U12" i="4"/>
  <c r="V12" i="4" s="1"/>
  <c r="T12" i="4"/>
  <c r="J9" i="20"/>
  <c r="J11" i="20"/>
  <c r="J13" i="20"/>
  <c r="J7" i="20"/>
  <c r="Z10" i="14"/>
  <c r="Z14" i="14"/>
  <c r="F22" i="20" l="1"/>
  <c r="K7" i="20"/>
  <c r="K9" i="20"/>
  <c r="F23" i="20"/>
  <c r="Y14" i="14"/>
  <c r="Z15" i="14"/>
  <c r="S43" i="4"/>
  <c r="S63" i="4"/>
  <c r="H63" i="4"/>
  <c r="H64" i="4"/>
  <c r="H44" i="4"/>
  <c r="S83" i="4"/>
  <c r="H43" i="4"/>
  <c r="S65" i="4"/>
  <c r="S86" i="4"/>
  <c r="S64" i="4"/>
  <c r="S45" i="4"/>
  <c r="H83" i="4"/>
  <c r="H46" i="4"/>
  <c r="S46" i="4"/>
  <c r="S84" i="4"/>
  <c r="H85" i="4"/>
  <c r="H65" i="4"/>
  <c r="S44" i="4"/>
  <c r="H45" i="4"/>
  <c r="H86" i="4"/>
  <c r="H66" i="4"/>
  <c r="H84" i="4"/>
  <c r="S85" i="4"/>
  <c r="S66" i="4"/>
  <c r="U10" i="4"/>
  <c r="F26" i="4"/>
  <c r="K10" i="4"/>
  <c r="F24" i="20"/>
  <c r="K11" i="20"/>
  <c r="R43" i="4"/>
  <c r="G83" i="4"/>
  <c r="R63" i="4"/>
  <c r="G43" i="4"/>
  <c r="R83" i="4"/>
  <c r="R86" i="4"/>
  <c r="G44" i="4"/>
  <c r="R85" i="4"/>
  <c r="R45" i="4"/>
  <c r="G65" i="4"/>
  <c r="R66" i="4"/>
  <c r="R84" i="4"/>
  <c r="R64" i="4"/>
  <c r="R65" i="4"/>
  <c r="G66" i="4"/>
  <c r="G63" i="4"/>
  <c r="G64" i="4"/>
  <c r="G86" i="4"/>
  <c r="G45" i="4"/>
  <c r="G84" i="4"/>
  <c r="G46" i="4"/>
  <c r="R46" i="4"/>
  <c r="R44" i="4"/>
  <c r="G85" i="4"/>
  <c r="T9" i="4"/>
  <c r="E32" i="4"/>
  <c r="G32" i="4" s="1"/>
  <c r="E35" i="4"/>
  <c r="G35" i="4" s="1"/>
  <c r="T10" i="4"/>
  <c r="P27" i="12"/>
  <c r="Q27" i="12"/>
  <c r="R33" i="10"/>
  <c r="S33" i="10"/>
  <c r="K13" i="20"/>
  <c r="F25" i="20"/>
  <c r="E22" i="20"/>
  <c r="I7" i="20"/>
  <c r="T7" i="4"/>
  <c r="E31" i="4"/>
  <c r="I13" i="20"/>
  <c r="E25" i="20"/>
  <c r="Y14" i="22"/>
  <c r="Z15" i="22"/>
  <c r="E24" i="20"/>
  <c r="I11" i="20"/>
  <c r="E23" i="20"/>
  <c r="I9" i="20"/>
  <c r="U7" i="4"/>
  <c r="K7" i="4"/>
  <c r="F22" i="4"/>
  <c r="Q28" i="12"/>
  <c r="P28" i="12"/>
  <c r="T8" i="4"/>
  <c r="E34" i="4"/>
  <c r="K9" i="4"/>
  <c r="U9" i="4"/>
  <c r="F23" i="4"/>
  <c r="R32" i="10"/>
  <c r="T32" i="10"/>
  <c r="S32" i="10"/>
  <c r="F25" i="4"/>
  <c r="K8" i="4"/>
  <c r="U8" i="4"/>
  <c r="V24" i="19"/>
  <c r="P33" i="10"/>
  <c r="T33" i="10" s="1"/>
  <c r="P81" i="10" l="1"/>
  <c r="R87" i="4"/>
  <c r="P69" i="10"/>
  <c r="S67" i="4"/>
  <c r="J63" i="4"/>
  <c r="U83" i="4"/>
  <c r="J43" i="4"/>
  <c r="U85" i="4"/>
  <c r="J66" i="4"/>
  <c r="J65" i="4"/>
  <c r="U65" i="4"/>
  <c r="J44" i="4"/>
  <c r="U43" i="4"/>
  <c r="U66" i="4"/>
  <c r="U84" i="4"/>
  <c r="U63" i="4"/>
  <c r="J45" i="4"/>
  <c r="J86" i="4"/>
  <c r="J84" i="4"/>
  <c r="U64" i="4"/>
  <c r="J83" i="4"/>
  <c r="J46" i="4"/>
  <c r="J64" i="4"/>
  <c r="U44" i="4"/>
  <c r="U45" i="4"/>
  <c r="U46" i="4"/>
  <c r="J85" i="4"/>
  <c r="U86" i="4"/>
  <c r="G36" i="20"/>
  <c r="G37" i="20"/>
  <c r="F101" i="10" s="1"/>
  <c r="F95" i="10" s="1"/>
  <c r="G38" i="20"/>
  <c r="F102" i="10" s="1"/>
  <c r="F45" i="10"/>
  <c r="G47" i="4"/>
  <c r="V10" i="4"/>
  <c r="F35" i="4"/>
  <c r="P51" i="10"/>
  <c r="S47" i="4"/>
  <c r="P63" i="10"/>
  <c r="R67" i="4"/>
  <c r="H38" i="20"/>
  <c r="F108" i="10" s="1"/>
  <c r="H36" i="20"/>
  <c r="H37" i="20"/>
  <c r="F107" i="10" s="1"/>
  <c r="I83" i="4"/>
  <c r="T45" i="4"/>
  <c r="I44" i="4"/>
  <c r="T66" i="4"/>
  <c r="T83" i="4"/>
  <c r="I45" i="4"/>
  <c r="I66" i="4"/>
  <c r="T85" i="4"/>
  <c r="I46" i="4"/>
  <c r="T63" i="4"/>
  <c r="I43" i="4"/>
  <c r="T64" i="4"/>
  <c r="T44" i="4"/>
  <c r="I63" i="4"/>
  <c r="T84" i="4"/>
  <c r="I65" i="4"/>
  <c r="T43" i="4"/>
  <c r="T86" i="4"/>
  <c r="I84" i="4"/>
  <c r="T65" i="4"/>
  <c r="T46" i="4"/>
  <c r="I86" i="4"/>
  <c r="I85" i="4"/>
  <c r="I64" i="4"/>
  <c r="Y15" i="22"/>
  <c r="AD12" i="22"/>
  <c r="F81" i="10"/>
  <c r="G87" i="4"/>
  <c r="F51" i="10"/>
  <c r="H47" i="4"/>
  <c r="Y15" i="14"/>
  <c r="AD12" i="14"/>
  <c r="H7" i="14" s="1"/>
  <c r="P45" i="10"/>
  <c r="R47" i="4"/>
  <c r="P87" i="10"/>
  <c r="S87" i="4"/>
  <c r="V9" i="4"/>
  <c r="F32" i="4"/>
  <c r="F63" i="10"/>
  <c r="G67" i="4"/>
  <c r="V7" i="4"/>
  <c r="F31" i="4"/>
  <c r="G53" i="4"/>
  <c r="R73" i="4"/>
  <c r="R93" i="4"/>
  <c r="G93" i="4"/>
  <c r="R53" i="4"/>
  <c r="R76" i="4"/>
  <c r="R54" i="4"/>
  <c r="G96" i="4"/>
  <c r="R95" i="4"/>
  <c r="G56" i="4"/>
  <c r="G55" i="4"/>
  <c r="R56" i="4"/>
  <c r="G76" i="4"/>
  <c r="R74" i="4"/>
  <c r="G75" i="4"/>
  <c r="G31" i="4"/>
  <c r="G95" i="4"/>
  <c r="R55" i="4"/>
  <c r="G73" i="4"/>
  <c r="R94" i="4"/>
  <c r="G94" i="4"/>
  <c r="R75" i="4"/>
  <c r="R96" i="4"/>
  <c r="G74" i="4"/>
  <c r="G54" i="4"/>
  <c r="J36" i="20"/>
  <c r="J37" i="20"/>
  <c r="G107" i="10" s="1"/>
  <c r="J38" i="20"/>
  <c r="G108" i="10" s="1"/>
  <c r="H87" i="4"/>
  <c r="F87" i="10"/>
  <c r="V8" i="4"/>
  <c r="F34" i="4"/>
  <c r="S93" i="4"/>
  <c r="S53" i="4"/>
  <c r="S75" i="4"/>
  <c r="S54" i="4"/>
  <c r="H73" i="4"/>
  <c r="S76" i="4"/>
  <c r="H76" i="4"/>
  <c r="S73" i="4"/>
  <c r="H53" i="4"/>
  <c r="S96" i="4"/>
  <c r="H75" i="4"/>
  <c r="S94" i="4"/>
  <c r="H56" i="4"/>
  <c r="H74" i="4"/>
  <c r="H93" i="4"/>
  <c r="G34" i="4"/>
  <c r="S74" i="4"/>
  <c r="H94" i="4"/>
  <c r="S95" i="4"/>
  <c r="H96" i="4"/>
  <c r="H95" i="4"/>
  <c r="S56" i="4"/>
  <c r="S55" i="4"/>
  <c r="H55" i="4"/>
  <c r="H54" i="4"/>
  <c r="F69" i="10"/>
  <c r="H67" i="4"/>
  <c r="I36" i="20"/>
  <c r="I37" i="20"/>
  <c r="G101" i="10" s="1"/>
  <c r="I38" i="20"/>
  <c r="G102" i="10" s="1"/>
  <c r="F82" i="10" l="1"/>
  <c r="G97" i="4"/>
  <c r="G63" i="10"/>
  <c r="I67" i="4"/>
  <c r="F64" i="10"/>
  <c r="G77" i="4"/>
  <c r="P82" i="10"/>
  <c r="R97" i="4"/>
  <c r="Q81" i="10"/>
  <c r="T87" i="4"/>
  <c r="F96" i="10"/>
  <c r="G51" i="10"/>
  <c r="J47" i="4"/>
  <c r="U87" i="4"/>
  <c r="Q87" i="10"/>
  <c r="J108" i="10"/>
  <c r="I108" i="10"/>
  <c r="H108" i="10"/>
  <c r="G106" i="10"/>
  <c r="J39" i="20"/>
  <c r="F46" i="10"/>
  <c r="G57" i="4"/>
  <c r="F83" i="10"/>
  <c r="F75" i="10"/>
  <c r="I47" i="4"/>
  <c r="G45" i="10"/>
  <c r="F100" i="10"/>
  <c r="G39" i="20"/>
  <c r="G87" i="10"/>
  <c r="J87" i="4"/>
  <c r="Q51" i="10"/>
  <c r="U47" i="4"/>
  <c r="G69" i="10"/>
  <c r="J67" i="4"/>
  <c r="I39" i="20"/>
  <c r="G100" i="10"/>
  <c r="P70" i="10"/>
  <c r="P71" i="10" s="1"/>
  <c r="S77" i="4"/>
  <c r="J53" i="4"/>
  <c r="J73" i="4"/>
  <c r="U73" i="4"/>
  <c r="J54" i="4"/>
  <c r="U55" i="4"/>
  <c r="U96" i="4"/>
  <c r="U94" i="4"/>
  <c r="J55" i="4"/>
  <c r="U74" i="4"/>
  <c r="U75" i="4"/>
  <c r="U53" i="4"/>
  <c r="J96" i="4"/>
  <c r="J94" i="4"/>
  <c r="U93" i="4"/>
  <c r="U54" i="4"/>
  <c r="J76" i="4"/>
  <c r="U76" i="4"/>
  <c r="J93" i="4"/>
  <c r="U56" i="4"/>
  <c r="J95" i="4"/>
  <c r="U95" i="4"/>
  <c r="J74" i="4"/>
  <c r="J56" i="4"/>
  <c r="J75" i="4"/>
  <c r="I53" i="4"/>
  <c r="T53" i="4"/>
  <c r="I73" i="4"/>
  <c r="T93" i="4"/>
  <c r="I93" i="4"/>
  <c r="I56" i="4"/>
  <c r="I75" i="4"/>
  <c r="I55" i="4"/>
  <c r="T56" i="4"/>
  <c r="I95" i="4"/>
  <c r="T95" i="4"/>
  <c r="T74" i="4"/>
  <c r="T73" i="4"/>
  <c r="T54" i="4"/>
  <c r="I96" i="4"/>
  <c r="T76" i="4"/>
  <c r="T55" i="4"/>
  <c r="I74" i="4"/>
  <c r="T75" i="4"/>
  <c r="I76" i="4"/>
  <c r="T96" i="4"/>
  <c r="I94" i="4"/>
  <c r="T94" i="4"/>
  <c r="I54" i="4"/>
  <c r="H7" i="22"/>
  <c r="H9" i="22"/>
  <c r="H11" i="22"/>
  <c r="H13" i="22"/>
  <c r="T67" i="4"/>
  <c r="Q63" i="10"/>
  <c r="F39" i="10"/>
  <c r="P57" i="10"/>
  <c r="F52" i="10"/>
  <c r="F53" i="10" s="1"/>
  <c r="H57" i="4"/>
  <c r="F88" i="10"/>
  <c r="H97" i="4"/>
  <c r="P39" i="10"/>
  <c r="Q45" i="10"/>
  <c r="T47" i="4"/>
  <c r="I87" i="4"/>
  <c r="G81" i="10"/>
  <c r="J107" i="10"/>
  <c r="H107" i="10"/>
  <c r="I107" i="10"/>
  <c r="P52" i="10"/>
  <c r="P53" i="10" s="1"/>
  <c r="S57" i="4"/>
  <c r="P88" i="10"/>
  <c r="P89" i="10" s="1"/>
  <c r="S97" i="4"/>
  <c r="F89" i="10"/>
  <c r="H8" i="14"/>
  <c r="H11" i="14"/>
  <c r="E22" i="14"/>
  <c r="I7" i="14"/>
  <c r="S7" i="14"/>
  <c r="H9" i="14"/>
  <c r="Q69" i="10"/>
  <c r="U67" i="4"/>
  <c r="P64" i="10"/>
  <c r="P58" i="10" s="1"/>
  <c r="R77" i="4"/>
  <c r="H102" i="10"/>
  <c r="I102" i="10"/>
  <c r="J102" i="10"/>
  <c r="G96" i="10"/>
  <c r="H101" i="10"/>
  <c r="I101" i="10"/>
  <c r="J101" i="10"/>
  <c r="G95" i="10"/>
  <c r="H77" i="4"/>
  <c r="F70" i="10"/>
  <c r="F71" i="10" s="1"/>
  <c r="R57" i="4"/>
  <c r="P46" i="10"/>
  <c r="P40" i="10" s="1"/>
  <c r="F57" i="10"/>
  <c r="F65" i="10"/>
  <c r="H39" i="20"/>
  <c r="F106" i="10"/>
  <c r="P83" i="10"/>
  <c r="P75" i="10"/>
  <c r="F40" i="10" l="1"/>
  <c r="I8" i="14"/>
  <c r="S8" i="14"/>
  <c r="E25" i="14"/>
  <c r="R87" i="10"/>
  <c r="S87" i="10"/>
  <c r="T87" i="10"/>
  <c r="S63" i="10"/>
  <c r="Q57" i="10"/>
  <c r="R63" i="10"/>
  <c r="T63" i="10"/>
  <c r="Q88" i="10"/>
  <c r="U97" i="4"/>
  <c r="J87" i="10"/>
  <c r="H87" i="10"/>
  <c r="I87" i="10"/>
  <c r="P76" i="10"/>
  <c r="R69" i="10"/>
  <c r="T69" i="10"/>
  <c r="S69" i="10"/>
  <c r="Q64" i="10"/>
  <c r="T77" i="4"/>
  <c r="I96" i="10"/>
  <c r="J96" i="10"/>
  <c r="H96" i="10"/>
  <c r="I13" i="22"/>
  <c r="E25" i="22"/>
  <c r="T97" i="4"/>
  <c r="Q82" i="10"/>
  <c r="F94" i="10"/>
  <c r="H51" i="10"/>
  <c r="J51" i="10"/>
  <c r="I51" i="10"/>
  <c r="F58" i="10"/>
  <c r="F59" i="10"/>
  <c r="I97" i="4"/>
  <c r="G82" i="10"/>
  <c r="G83" i="10" s="1"/>
  <c r="E24" i="22"/>
  <c r="I11" i="22"/>
  <c r="G64" i="10"/>
  <c r="I77" i="4"/>
  <c r="Q52" i="10"/>
  <c r="U57" i="4"/>
  <c r="U77" i="4"/>
  <c r="Q70" i="10"/>
  <c r="Q71" i="10" s="1"/>
  <c r="G39" i="10"/>
  <c r="I45" i="10"/>
  <c r="J45" i="10"/>
  <c r="H45" i="10"/>
  <c r="I106" i="10"/>
  <c r="H106" i="10"/>
  <c r="J106" i="10"/>
  <c r="J81" i="10"/>
  <c r="I81" i="10"/>
  <c r="H81" i="10"/>
  <c r="G75" i="10"/>
  <c r="E31" i="14"/>
  <c r="T7" i="14"/>
  <c r="Q39" i="10"/>
  <c r="R45" i="10"/>
  <c r="S45" i="10"/>
  <c r="T45" i="10"/>
  <c r="P65" i="10"/>
  <c r="P59" i="10" s="1"/>
  <c r="E23" i="22"/>
  <c r="I9" i="22"/>
  <c r="Q46" i="10"/>
  <c r="Q47" i="10" s="1"/>
  <c r="T57" i="4"/>
  <c r="G88" i="10"/>
  <c r="G89" i="10" s="1"/>
  <c r="J97" i="4"/>
  <c r="J77" i="4"/>
  <c r="G70" i="10"/>
  <c r="G71" i="10"/>
  <c r="I69" i="10"/>
  <c r="H69" i="10"/>
  <c r="J69" i="10"/>
  <c r="I63" i="10"/>
  <c r="G57" i="10"/>
  <c r="G65" i="10"/>
  <c r="H63" i="10"/>
  <c r="J63" i="10"/>
  <c r="I100" i="10"/>
  <c r="J100" i="10"/>
  <c r="H100" i="10"/>
  <c r="G94" i="10"/>
  <c r="S9" i="14"/>
  <c r="E23" i="14"/>
  <c r="G83" i="14" s="1"/>
  <c r="I9" i="14"/>
  <c r="H10" i="14"/>
  <c r="P77" i="10"/>
  <c r="G63" i="14"/>
  <c r="G43" i="14"/>
  <c r="P83" i="14"/>
  <c r="G44" i="14"/>
  <c r="G84" i="14"/>
  <c r="G86" i="14"/>
  <c r="P65" i="14"/>
  <c r="P45" i="14"/>
  <c r="G45" i="14"/>
  <c r="P85" i="14"/>
  <c r="P63" i="14"/>
  <c r="P66" i="14"/>
  <c r="G64" i="14"/>
  <c r="G85" i="14"/>
  <c r="P44" i="14"/>
  <c r="P86" i="14"/>
  <c r="P84" i="14"/>
  <c r="G66" i="14"/>
  <c r="P64" i="14"/>
  <c r="G65" i="14"/>
  <c r="P47" i="10"/>
  <c r="P41" i="10" s="1"/>
  <c r="E22" i="22"/>
  <c r="I7" i="22"/>
  <c r="G46" i="10"/>
  <c r="G47" i="10" s="1"/>
  <c r="I57" i="4"/>
  <c r="G52" i="10"/>
  <c r="J57" i="4"/>
  <c r="Q83" i="10"/>
  <c r="R81" i="10"/>
  <c r="Q75" i="10"/>
  <c r="S81" i="10"/>
  <c r="T81" i="10"/>
  <c r="J95" i="10"/>
  <c r="I95" i="10"/>
  <c r="H95" i="10"/>
  <c r="S11" i="14"/>
  <c r="T11" i="14" s="1"/>
  <c r="H12" i="14"/>
  <c r="I11" i="14"/>
  <c r="F47" i="10"/>
  <c r="F41" i="10" s="1"/>
  <c r="Q53" i="10"/>
  <c r="T51" i="10"/>
  <c r="R51" i="10"/>
  <c r="S51" i="10"/>
  <c r="F77" i="10"/>
  <c r="F76" i="10"/>
  <c r="F76" i="12" l="1"/>
  <c r="G87" i="14"/>
  <c r="H89" i="10"/>
  <c r="I89" i="10"/>
  <c r="J89" i="10"/>
  <c r="S71" i="10"/>
  <c r="T71" i="10"/>
  <c r="R71" i="10"/>
  <c r="H83" i="10"/>
  <c r="G77" i="10"/>
  <c r="I83" i="10"/>
  <c r="J83" i="10"/>
  <c r="J71" i="10"/>
  <c r="H71" i="10"/>
  <c r="I71" i="10"/>
  <c r="G73" i="14"/>
  <c r="P73" i="14"/>
  <c r="P76" i="14"/>
  <c r="P94" i="14"/>
  <c r="G76" i="14"/>
  <c r="G96" i="14"/>
  <c r="G53" i="14"/>
  <c r="G94" i="14"/>
  <c r="P95" i="14"/>
  <c r="G55" i="14"/>
  <c r="P75" i="14"/>
  <c r="G74" i="14"/>
  <c r="P74" i="14"/>
  <c r="P55" i="14"/>
  <c r="G95" i="14"/>
  <c r="G75" i="14"/>
  <c r="R64" i="10"/>
  <c r="Q58" i="10"/>
  <c r="T64" i="10"/>
  <c r="S64" i="10"/>
  <c r="I52" i="10"/>
  <c r="H52" i="10"/>
  <c r="J52" i="10"/>
  <c r="O58" i="12"/>
  <c r="P67" i="14"/>
  <c r="H70" i="10"/>
  <c r="I70" i="10"/>
  <c r="J70" i="10"/>
  <c r="H75" i="10"/>
  <c r="I75" i="10"/>
  <c r="J75" i="10"/>
  <c r="T52" i="10"/>
  <c r="R52" i="10"/>
  <c r="S52" i="10"/>
  <c r="R53" i="10"/>
  <c r="S53" i="10"/>
  <c r="T53" i="10"/>
  <c r="H65" i="10"/>
  <c r="I65" i="10"/>
  <c r="J65" i="10"/>
  <c r="H47" i="10"/>
  <c r="I47" i="10"/>
  <c r="J47" i="10"/>
  <c r="P87" i="14"/>
  <c r="O76" i="12"/>
  <c r="S47" i="10"/>
  <c r="T47" i="10"/>
  <c r="Q41" i="10"/>
  <c r="R47" i="10"/>
  <c r="H46" i="10"/>
  <c r="I46" i="10"/>
  <c r="G40" i="10"/>
  <c r="J46" i="10"/>
  <c r="G46" i="14"/>
  <c r="G47" i="14" s="1"/>
  <c r="P46" i="14"/>
  <c r="F40" i="12"/>
  <c r="E32" i="14"/>
  <c r="P53" i="14" s="1"/>
  <c r="T9" i="14"/>
  <c r="J57" i="10"/>
  <c r="I57" i="10"/>
  <c r="G59" i="10"/>
  <c r="H57" i="10"/>
  <c r="G58" i="10"/>
  <c r="J64" i="10"/>
  <c r="I64" i="10"/>
  <c r="H64" i="10"/>
  <c r="R88" i="10"/>
  <c r="S88" i="10"/>
  <c r="T88" i="10"/>
  <c r="Q89" i="10"/>
  <c r="I88" i="10"/>
  <c r="J88" i="10"/>
  <c r="H88" i="10"/>
  <c r="G53" i="10"/>
  <c r="G38" i="22"/>
  <c r="F97" i="12" s="1"/>
  <c r="G36" i="22"/>
  <c r="G37" i="22"/>
  <c r="F96" i="12" s="1"/>
  <c r="P43" i="14"/>
  <c r="I39" i="10"/>
  <c r="J39" i="10"/>
  <c r="H39" i="10"/>
  <c r="H38" i="22"/>
  <c r="F103" i="12" s="1"/>
  <c r="H36" i="22"/>
  <c r="H37" i="22"/>
  <c r="F102" i="12" s="1"/>
  <c r="H63" i="14"/>
  <c r="Q63" i="14"/>
  <c r="H43" i="14"/>
  <c r="Q44" i="14"/>
  <c r="H44" i="14"/>
  <c r="Q64" i="14"/>
  <c r="H65" i="14"/>
  <c r="H85" i="14"/>
  <c r="H46" i="14"/>
  <c r="Q43" i="14"/>
  <c r="Q84" i="14"/>
  <c r="H45" i="14"/>
  <c r="H66" i="14"/>
  <c r="Q85" i="14"/>
  <c r="Q45" i="14"/>
  <c r="Q66" i="14"/>
  <c r="H64" i="14"/>
  <c r="Q86" i="14"/>
  <c r="H84" i="14"/>
  <c r="Q65" i="14"/>
  <c r="G67" i="14"/>
  <c r="F58" i="12"/>
  <c r="H94" i="10"/>
  <c r="I94" i="10"/>
  <c r="J94" i="10"/>
  <c r="Q40" i="10"/>
  <c r="T46" i="10"/>
  <c r="R46" i="10"/>
  <c r="S46" i="10"/>
  <c r="S39" i="10"/>
  <c r="T39" i="10"/>
  <c r="R39" i="10"/>
  <c r="S70" i="10"/>
  <c r="T70" i="10"/>
  <c r="R70" i="10"/>
  <c r="H82" i="10"/>
  <c r="I82" i="10"/>
  <c r="G76" i="10"/>
  <c r="J82" i="10"/>
  <c r="S57" i="10"/>
  <c r="T57" i="10"/>
  <c r="R57" i="10"/>
  <c r="E34" i="14"/>
  <c r="T8" i="14"/>
  <c r="S10" i="14"/>
  <c r="I10" i="14"/>
  <c r="E26" i="14"/>
  <c r="H83" i="14" s="1"/>
  <c r="S12" i="14"/>
  <c r="T12" i="14" s="1"/>
  <c r="I12" i="14"/>
  <c r="S75" i="10"/>
  <c r="T75" i="10"/>
  <c r="R75" i="10"/>
  <c r="R83" i="10"/>
  <c r="S83" i="10"/>
  <c r="T83" i="10"/>
  <c r="S82" i="10"/>
  <c r="R82" i="10"/>
  <c r="Q76" i="10"/>
  <c r="T82" i="10"/>
  <c r="Q65" i="10"/>
  <c r="P93" i="14" l="1"/>
  <c r="P56" i="14"/>
  <c r="H86" i="14"/>
  <c r="H87" i="14" s="1"/>
  <c r="Q46" i="14"/>
  <c r="P96" i="14"/>
  <c r="G56" i="14"/>
  <c r="G54" i="14"/>
  <c r="G57" i="14" s="1"/>
  <c r="O41" i="12"/>
  <c r="F82" i="12"/>
  <c r="Q59" i="10"/>
  <c r="R65" i="10"/>
  <c r="T65" i="10"/>
  <c r="S65" i="10"/>
  <c r="E35" i="14"/>
  <c r="H56" i="14" s="1"/>
  <c r="T10" i="14"/>
  <c r="O40" i="12"/>
  <c r="P47" i="14"/>
  <c r="O77" i="12"/>
  <c r="P97" i="14"/>
  <c r="F64" i="12"/>
  <c r="F52" i="12" s="1"/>
  <c r="H67" i="14"/>
  <c r="G96" i="12"/>
  <c r="F90" i="12"/>
  <c r="H96" i="12"/>
  <c r="J59" i="10"/>
  <c r="H59" i="10"/>
  <c r="I59" i="10"/>
  <c r="P58" i="12"/>
  <c r="Q58" i="12"/>
  <c r="Q67" i="14"/>
  <c r="O64" i="12"/>
  <c r="S89" i="10"/>
  <c r="T89" i="10"/>
  <c r="R89" i="10"/>
  <c r="H73" i="14"/>
  <c r="Q53" i="14"/>
  <c r="Q93" i="14"/>
  <c r="Q75" i="14"/>
  <c r="Q73" i="14"/>
  <c r="Q55" i="14"/>
  <c r="Q94" i="14"/>
  <c r="H74" i="14"/>
  <c r="H53" i="14"/>
  <c r="H95" i="14"/>
  <c r="H55" i="14"/>
  <c r="H75" i="14"/>
  <c r="H76" i="14"/>
  <c r="Q95" i="14"/>
  <c r="Q76" i="14"/>
  <c r="H94" i="14"/>
  <c r="Q96" i="14"/>
  <c r="H54" i="14"/>
  <c r="Q74" i="14"/>
  <c r="Q54" i="14"/>
  <c r="F95" i="12"/>
  <c r="G39" i="22"/>
  <c r="Q76" i="12"/>
  <c r="P76" i="12"/>
  <c r="G58" i="12"/>
  <c r="H58" i="12"/>
  <c r="G97" i="12"/>
  <c r="F91" i="12"/>
  <c r="H97" i="12"/>
  <c r="I40" i="10"/>
  <c r="H40" i="10"/>
  <c r="J40" i="10"/>
  <c r="G103" i="12"/>
  <c r="H103" i="12"/>
  <c r="I53" i="10"/>
  <c r="H53" i="10"/>
  <c r="J53" i="10"/>
  <c r="G41" i="10"/>
  <c r="G93" i="14"/>
  <c r="H102" i="12"/>
  <c r="G102" i="12"/>
  <c r="S40" i="10"/>
  <c r="T40" i="10"/>
  <c r="R40" i="10"/>
  <c r="Q47" i="14"/>
  <c r="O46" i="12"/>
  <c r="Q83" i="14"/>
  <c r="P77" i="14"/>
  <c r="O59" i="12"/>
  <c r="H47" i="14"/>
  <c r="F46" i="12"/>
  <c r="P54" i="14"/>
  <c r="P57" i="14" s="1"/>
  <c r="F41" i="12"/>
  <c r="F42" i="12" s="1"/>
  <c r="H77" i="10"/>
  <c r="I77" i="10"/>
  <c r="J77" i="10"/>
  <c r="S76" i="10"/>
  <c r="T76" i="10"/>
  <c r="R76" i="10"/>
  <c r="H39" i="22"/>
  <c r="F101" i="12"/>
  <c r="Q77" i="10"/>
  <c r="J76" i="10"/>
  <c r="H76" i="10"/>
  <c r="I76" i="10"/>
  <c r="J58" i="10"/>
  <c r="H58" i="10"/>
  <c r="I58" i="10"/>
  <c r="F34" i="12"/>
  <c r="G40" i="12"/>
  <c r="H40" i="12"/>
  <c r="T41" i="10"/>
  <c r="S41" i="10"/>
  <c r="R41" i="10"/>
  <c r="T58" i="10"/>
  <c r="S58" i="10"/>
  <c r="R58" i="10"/>
  <c r="G77" i="14"/>
  <c r="F59" i="12"/>
  <c r="F60" i="12" s="1"/>
  <c r="H76" i="12"/>
  <c r="F70" i="12"/>
  <c r="G76" i="12"/>
  <c r="Q56" i="14" l="1"/>
  <c r="H96" i="14"/>
  <c r="H93" i="14"/>
  <c r="G42" i="12"/>
  <c r="H42" i="12"/>
  <c r="P59" i="12"/>
  <c r="Q59" i="12"/>
  <c r="G60" i="12"/>
  <c r="H60" i="12"/>
  <c r="H95" i="12"/>
  <c r="G95" i="12"/>
  <c r="F89" i="12"/>
  <c r="F65" i="12"/>
  <c r="H77" i="14"/>
  <c r="G52" i="12"/>
  <c r="H52" i="12"/>
  <c r="O60" i="12"/>
  <c r="G64" i="12"/>
  <c r="H64" i="12"/>
  <c r="H34" i="12"/>
  <c r="G34" i="12"/>
  <c r="T77" i="10"/>
  <c r="R77" i="10"/>
  <c r="S77" i="10"/>
  <c r="Q87" i="14"/>
  <c r="O82" i="12"/>
  <c r="G97" i="14"/>
  <c r="F77" i="12"/>
  <c r="O65" i="12"/>
  <c r="Q77" i="14"/>
  <c r="P77" i="12"/>
  <c r="Q77" i="12"/>
  <c r="R59" i="10"/>
  <c r="T59" i="10"/>
  <c r="S59" i="10"/>
  <c r="H41" i="12"/>
  <c r="G41" i="12"/>
  <c r="F47" i="12"/>
  <c r="F48" i="12" s="1"/>
  <c r="H57" i="14"/>
  <c r="Q64" i="12"/>
  <c r="P64" i="12"/>
  <c r="H91" i="12"/>
  <c r="G91" i="12"/>
  <c r="O78" i="12"/>
  <c r="O83" i="12"/>
  <c r="O71" i="12" s="1"/>
  <c r="Q97" i="14"/>
  <c r="O42" i="12"/>
  <c r="O34" i="12"/>
  <c r="Q40" i="12"/>
  <c r="P40" i="12"/>
  <c r="G82" i="12"/>
  <c r="F84" i="12"/>
  <c r="H82" i="12"/>
  <c r="Q46" i="12"/>
  <c r="P46" i="12"/>
  <c r="G70" i="12"/>
  <c r="H70" i="12"/>
  <c r="G46" i="12"/>
  <c r="H46" i="12"/>
  <c r="H97" i="14"/>
  <c r="F83" i="12"/>
  <c r="H90" i="12"/>
  <c r="G90" i="12"/>
  <c r="P41" i="12"/>
  <c r="Q41" i="12"/>
  <c r="G101" i="12"/>
  <c r="H101" i="12"/>
  <c r="J41" i="10"/>
  <c r="I41" i="10"/>
  <c r="H41" i="10"/>
  <c r="F53" i="12"/>
  <c r="G59" i="12"/>
  <c r="H59" i="12"/>
  <c r="O47" i="12"/>
  <c r="O48" i="12" s="1"/>
  <c r="Q57" i="14"/>
  <c r="O52" i="12"/>
  <c r="O35" i="12" l="1"/>
  <c r="F35" i="12"/>
  <c r="H53" i="12"/>
  <c r="G53" i="12"/>
  <c r="H35" i="12"/>
  <c r="G35" i="12"/>
  <c r="Q65" i="12"/>
  <c r="P65" i="12"/>
  <c r="G84" i="12"/>
  <c r="H84" i="12"/>
  <c r="Q78" i="12"/>
  <c r="P78" i="12"/>
  <c r="P35" i="12"/>
  <c r="Q35" i="12"/>
  <c r="H77" i="12"/>
  <c r="G77" i="12"/>
  <c r="F71" i="12"/>
  <c r="F78" i="12"/>
  <c r="H65" i="12"/>
  <c r="G65" i="12"/>
  <c r="Q34" i="12"/>
  <c r="P34" i="12"/>
  <c r="O66" i="12"/>
  <c r="G89" i="12"/>
  <c r="H89" i="12"/>
  <c r="O53" i="12"/>
  <c r="H48" i="12"/>
  <c r="G48" i="12"/>
  <c r="P82" i="12"/>
  <c r="O84" i="12"/>
  <c r="Q82" i="12"/>
  <c r="O70" i="12"/>
  <c r="F66" i="12"/>
  <c r="Q52" i="12"/>
  <c r="P52" i="12"/>
  <c r="H83" i="12"/>
  <c r="G83" i="12"/>
  <c r="O36" i="12"/>
  <c r="P42" i="12"/>
  <c r="Q42" i="12"/>
  <c r="Q71" i="12"/>
  <c r="P71" i="12"/>
  <c r="F36" i="12"/>
  <c r="Q48" i="12"/>
  <c r="P48" i="12"/>
  <c r="Q47" i="12"/>
  <c r="P47" i="12"/>
  <c r="P83" i="12"/>
  <c r="Q83" i="12"/>
  <c r="H47" i="12"/>
  <c r="G47" i="12"/>
  <c r="Q60" i="12"/>
  <c r="P60" i="12"/>
  <c r="G71" i="12" l="1"/>
  <c r="H71" i="12"/>
  <c r="P84" i="12"/>
  <c r="Q84" i="12"/>
  <c r="P70" i="12"/>
  <c r="Q70" i="12"/>
  <c r="P36" i="12"/>
  <c r="Q36" i="12"/>
  <c r="O72" i="12"/>
  <c r="G66" i="12"/>
  <c r="H66" i="12"/>
  <c r="F54" i="12"/>
  <c r="Q66" i="12"/>
  <c r="P66" i="12"/>
  <c r="O54" i="12"/>
  <c r="G36" i="12"/>
  <c r="H36" i="12"/>
  <c r="P53" i="12"/>
  <c r="Q53" i="12"/>
  <c r="F72" i="12"/>
  <c r="G78" i="12"/>
  <c r="H78" i="12"/>
  <c r="P54" i="12" l="1"/>
  <c r="Q54" i="12"/>
  <c r="G72" i="12"/>
  <c r="H72" i="12"/>
  <c r="G54" i="12"/>
  <c r="H54" i="12"/>
  <c r="Q72" i="12"/>
  <c r="P72" i="12"/>
</calcChain>
</file>

<file path=xl/sharedStrings.xml><?xml version="1.0" encoding="utf-8"?>
<sst xmlns="http://schemas.openxmlformats.org/spreadsheetml/2006/main" count="2739" uniqueCount="589">
  <si>
    <t>Filing Description</t>
  </si>
  <si>
    <t>Revenue Recovery Mechanism</t>
  </si>
  <si>
    <t>Safety Affordability Reliability Proceedings</t>
  </si>
  <si>
    <t>Generation</t>
  </si>
  <si>
    <t>Authority for Revenue Requirement</t>
  </si>
  <si>
    <t>Distribution</t>
  </si>
  <si>
    <t xml:space="preserve">   Subtotal Safety Affordability Reliability</t>
  </si>
  <si>
    <t>Public Policy Proceedings</t>
  </si>
  <si>
    <t xml:space="preserve">   Subtotal Public Policy </t>
  </si>
  <si>
    <t>Non-CPUC Jurisdictional Proceedings</t>
  </si>
  <si>
    <t>Transmission</t>
  </si>
  <si>
    <t xml:space="preserve">   Subtotal Non-CPUC Jurisidictional</t>
  </si>
  <si>
    <t>Total Authorized Revenue</t>
  </si>
  <si>
    <t>Notes:</t>
  </si>
  <si>
    <t>CTC</t>
  </si>
  <si>
    <t xml:space="preserve">Balancing Account </t>
  </si>
  <si>
    <t xml:space="preserve">Authorized Revenue Requirement       ($000) </t>
  </si>
  <si>
    <t>Revenue Requirement Date:</t>
  </si>
  <si>
    <t>Advice Letter:</t>
  </si>
  <si>
    <t>SDG&amp;E General Rate Case (GRC) Attrition Year</t>
  </si>
  <si>
    <t>Energy Efficiency Savings Performance Incentive (ESPI) Award</t>
  </si>
  <si>
    <t>Vehicle Grid Integration (VGI)</t>
  </si>
  <si>
    <t>Distributed Generation Renewable (DGR) Time Metered Under/(Over) Collection</t>
  </si>
  <si>
    <t>FF&amp;U Associated with Public Purpose Programs (PPP)</t>
  </si>
  <si>
    <t>N</t>
  </si>
  <si>
    <t>Electric Distribution Fixed Cost Account (EDFCA)</t>
  </si>
  <si>
    <t>Y</t>
  </si>
  <si>
    <t>Tree Trimming Balancing Account (TTBA)</t>
  </si>
  <si>
    <t xml:space="preserve">Advanced Metering and Demand Response (AMDRMA) </t>
  </si>
  <si>
    <t>Rewards and Penalties Balancing Account (RPBA) before Transfer</t>
  </si>
  <si>
    <t>Pension Balancing Account (PBA)</t>
  </si>
  <si>
    <t>Streamlining Residual Account (SRA)</t>
  </si>
  <si>
    <t>Baseline Balancing Account (BBA)</t>
  </si>
  <si>
    <t>Common Area Balancing Account (CABA)</t>
  </si>
  <si>
    <t>Hazardous Substance Cleanup Cost Account (HSCCA)</t>
  </si>
  <si>
    <t>Master Metering Balancing Account (MMBA)</t>
  </si>
  <si>
    <t>Direct Participation Demand Response Memorandum Account (DPDRMA)</t>
  </si>
  <si>
    <t>Clean Transportation Priority Balancing Account (CTPBA)</t>
  </si>
  <si>
    <t>Distribution Performance Based Ratemaking (PBR) Incentives Reward/ Penalty</t>
  </si>
  <si>
    <t>Post Retirement Benefits other than Pensions Balancing Account (PBOPBA)</t>
  </si>
  <si>
    <t>Energy Resource Recovery Account (ERRA) Revenue Requirement</t>
  </si>
  <si>
    <t>Energy Resource Recovery Account (ERRA) Trigger</t>
  </si>
  <si>
    <t>Department of Water Resources (DWR)  Power Charge Credit</t>
  </si>
  <si>
    <t>Critical Peak Pricing Default (CPP-D) Under/ (Over) Collection - Small Commercial</t>
  </si>
  <si>
    <t>Critical Peak Pricing Default (CPP-D) Under/ (Over) Collection - Medium/Large Commercial</t>
  </si>
  <si>
    <t>Critical Peak Pricing Default (CPP-D) Under/ (Over) Collection - Agriculture</t>
  </si>
  <si>
    <t>Distributed Generation Renewable (DGR) Time Metered Under/(Over) Collection - Commodity</t>
  </si>
  <si>
    <t>Smart Pricing Program (SPP) Under/Over Collection - Residential</t>
  </si>
  <si>
    <t>Smart Pricing Program (SPP) Under/Over Collection - Small Commercial</t>
  </si>
  <si>
    <t>Smart Pricing Program (SPP) Under/Over Collection - Agriculture</t>
  </si>
  <si>
    <t>San Onofre Nuclear Generating Station (SONGS)</t>
  </si>
  <si>
    <t>Solar Energy Project (SEP)</t>
  </si>
  <si>
    <t>Amortization - NGBA Balance</t>
  </si>
  <si>
    <t>Energy Resource Recovery Account (ERRA) Balancing Account</t>
  </si>
  <si>
    <t>GHG Small Business Volumetric Return</t>
  </si>
  <si>
    <t>GHG California Climate Credit (CCC)</t>
  </si>
  <si>
    <t>CTC Revenue Requirement</t>
  </si>
  <si>
    <t>Amortization - Transition Cost Balancing Account (TCBA)</t>
  </si>
  <si>
    <t>LG Revenue Requirement</t>
  </si>
  <si>
    <t>LGC</t>
  </si>
  <si>
    <t>Amortization - Local Generating Balancing Account (LGBA)</t>
  </si>
  <si>
    <t>Low Income Energy Efficiency (LIEE)/Energy Savings Assistance Programs (ESAP)</t>
  </si>
  <si>
    <t>Electric Program Investment Charge (EPIC)</t>
  </si>
  <si>
    <t>Family Electric Rate Assistance (FERA)</t>
  </si>
  <si>
    <t>Self-Generation Incentive Program (SGIP)</t>
  </si>
  <si>
    <t>California Solar Initiative (CSI)</t>
  </si>
  <si>
    <t>Food Bank</t>
  </si>
  <si>
    <t>California Alternative Rates for Energy Balancing Account (CAREBA)</t>
  </si>
  <si>
    <t>Low Income Energy Efficiency Balancing Account (LIEEBA)</t>
  </si>
  <si>
    <t>Post-1997 Electric Energy Efficiency Balancing Account (PEEEBA)</t>
  </si>
  <si>
    <t>Electric Program Investment Charge Balancing Account (EPICBA)</t>
  </si>
  <si>
    <t>Electric Procurement Energy Efficiency Bal. Acct. (EPEEBA)</t>
  </si>
  <si>
    <t>Family Electric Rate Assistance Balancing Account (FERABA)</t>
  </si>
  <si>
    <t>Energy Savings Assistance Programs Memo Account (ESAPMA)</t>
  </si>
  <si>
    <t>Self-Generation Program Memorandum Account (SGPMA)</t>
  </si>
  <si>
    <t>California Solar Initiative Balancing Account (CSIBA)</t>
  </si>
  <si>
    <t>Food Bank Balance Account (FBBA)</t>
  </si>
  <si>
    <t>Total Rate Adjustment Component (TRAC)</t>
  </si>
  <si>
    <t>TRAC</t>
  </si>
  <si>
    <t>ND Revenue Requirement</t>
  </si>
  <si>
    <t>ND</t>
  </si>
  <si>
    <t>Amortization - Nuclear Decommissioning Adjustment Mechanism</t>
  </si>
  <si>
    <t>Department of Water Resources Bond Charge (DWR-BC)</t>
  </si>
  <si>
    <t>Base Transmission Revenue Requirement (BTRR)</t>
  </si>
  <si>
    <t>Transmission Access Charge Balancing Account Adjustment (TACBAA)</t>
  </si>
  <si>
    <t>Transmission Revenue Balancing Account Adjustment (TRBAA)</t>
  </si>
  <si>
    <t>Reliability Services</t>
  </si>
  <si>
    <t>RS</t>
  </si>
  <si>
    <t>Current Revenue Requirement ($000):</t>
  </si>
  <si>
    <t>Current Revenue Requirement Effective:</t>
  </si>
  <si>
    <t>Approved Application(s), Implemented Since Jan 1 or To Be Implemented</t>
  </si>
  <si>
    <t>Proceeding</t>
  </si>
  <si>
    <t>Existing or New Item (if existing, use delta from prior for rate impact)</t>
  </si>
  <si>
    <t>General Rate Case</t>
  </si>
  <si>
    <t>Existing</t>
  </si>
  <si>
    <t>Nuclear Decommissioning (ND)</t>
  </si>
  <si>
    <t>SONGS</t>
  </si>
  <si>
    <t>DWR BC</t>
  </si>
  <si>
    <t>GHG Revenue</t>
  </si>
  <si>
    <t>SGIP</t>
  </si>
  <si>
    <t>Public Purpose Program</t>
  </si>
  <si>
    <t>Energy Efficiency</t>
  </si>
  <si>
    <t>SB 350 Priority Projects</t>
  </si>
  <si>
    <t>EPIC (Electric Program Investment Charge)</t>
  </si>
  <si>
    <t>Under/Over Collections</t>
  </si>
  <si>
    <t>Distributed Generation Renewable (DGR) Time Metered Under/(Over) Collection - Distribution</t>
  </si>
  <si>
    <t>Total Approved, Implemented Since Jan 1 or To Be Implemented</t>
  </si>
  <si>
    <t>Proposed Revenue Requirement ($000)</t>
  </si>
  <si>
    <t>Proposed Revenue Recovery Mechanism</t>
  </si>
  <si>
    <t>PYD 2.0</t>
  </si>
  <si>
    <t>AB 1054</t>
  </si>
  <si>
    <t>MDHD</t>
  </si>
  <si>
    <t>AB 1082/1083</t>
  </si>
  <si>
    <t>Total</t>
  </si>
  <si>
    <t>V2G Pilot</t>
  </si>
  <si>
    <t>Total Pending, Filed but not Approved</t>
  </si>
  <si>
    <t>Applications Projected to be Filed, Next 12 Months</t>
  </si>
  <si>
    <t>Estimated Filing Date</t>
  </si>
  <si>
    <t>Filing Basis</t>
  </si>
  <si>
    <t>Projected Authorized Revenue Requirement ($000) - Breakout by Year</t>
  </si>
  <si>
    <t>** Recurring programs funding assumed to be flat at current levels</t>
  </si>
  <si>
    <t>FF&amp;U associated with PPP</t>
  </si>
  <si>
    <t>Authorized Revenue Requirement with FF&amp;U ($000)</t>
  </si>
  <si>
    <t>Authorized Revenue Requirement with FF&amp;U ($000) - Breakout by Year</t>
  </si>
  <si>
    <t>Proposed Revenue Requirement with FF&amp;U ($000)</t>
  </si>
  <si>
    <t>Inputs:</t>
  </si>
  <si>
    <t>Assumptions:</t>
  </si>
  <si>
    <t>Current Effective Rates</t>
  </si>
  <si>
    <t>Baseline Region - (Residential bill)</t>
  </si>
  <si>
    <t>Coastal</t>
  </si>
  <si>
    <t>Sales Forecast</t>
  </si>
  <si>
    <t>kWh per month</t>
  </si>
  <si>
    <t>Pending Proceedings</t>
  </si>
  <si>
    <t>Applicable Year(s)</t>
  </si>
  <si>
    <t>Summer season</t>
  </si>
  <si>
    <t>months</t>
  </si>
  <si>
    <t>Winter Season</t>
  </si>
  <si>
    <t>Outputs:</t>
  </si>
  <si>
    <t>(A)</t>
  </si>
  <si>
    <t>(B)</t>
  </si>
  <si>
    <t>(C)</t>
  </si>
  <si>
    <t>(D)</t>
  </si>
  <si>
    <t>(D)/(A)</t>
  </si>
  <si>
    <t>(D)/(B)</t>
  </si>
  <si>
    <t>(D)/(C)</t>
  </si>
  <si>
    <t>Bundled Average Rates - ¢/kWh</t>
  </si>
  <si>
    <t>Total System (Bundled and Unbundled) Average Rates - ¢/kWh</t>
  </si>
  <si>
    <t>Customer Group</t>
  </si>
  <si>
    <t>% Change over Authorized</t>
  </si>
  <si>
    <t>Residential</t>
  </si>
  <si>
    <t>Total Residential (RAR)</t>
  </si>
  <si>
    <t>System</t>
  </si>
  <si>
    <t>Total System (SAR)</t>
  </si>
  <si>
    <t>Non-CARE</t>
  </si>
  <si>
    <t>CARE</t>
  </si>
  <si>
    <t>AL 3500-E</t>
  </si>
  <si>
    <t>Basis of Revenue Requirement Forecast:  Application, Amended Application , Amended Testimony,  Proposed Settlement Agreement, Proposed Decision</t>
  </si>
  <si>
    <t>Include in Impact</t>
  </si>
  <si>
    <t>Authorized</t>
  </si>
  <si>
    <t>Authorized + Pending</t>
  </si>
  <si>
    <t>Incremental Revenues</t>
  </si>
  <si>
    <t>Revenue Change ($000)</t>
  </si>
  <si>
    <t>w/ Pending</t>
  </si>
  <si>
    <t>Allocation</t>
  </si>
  <si>
    <t>Revenue Change ($000) - System</t>
  </si>
  <si>
    <t>Total System</t>
  </si>
  <si>
    <t>w/Pending</t>
  </si>
  <si>
    <t>% of CARE Sales (Bundled)</t>
  </si>
  <si>
    <t>Revenue Split - Bundled</t>
  </si>
  <si>
    <t>Bundled Revenue Change</t>
  </si>
  <si>
    <t>CARE Effective Discount</t>
  </si>
  <si>
    <t>CARE Adj</t>
  </si>
  <si>
    <t>Bundled</t>
  </si>
  <si>
    <t>System (Bundled and Unbundled)</t>
  </si>
  <si>
    <t>Proposed Avg Rates (Authorized)</t>
  </si>
  <si>
    <t>Proposed Avg Rates (w/Pending)</t>
  </si>
  <si>
    <t>% Change (Authorized)</t>
  </si>
  <si>
    <t>% Change (w/Pending)</t>
  </si>
  <si>
    <t>Proposed</t>
  </si>
  <si>
    <t>Rates</t>
  </si>
  <si>
    <t>Revenue</t>
  </si>
  <si>
    <t>Authorized Rates</t>
  </si>
  <si>
    <t>Authorized Revenue</t>
  </si>
  <si>
    <t>w/Pending Rates</t>
  </si>
  <si>
    <t>w/Pending Revenue</t>
  </si>
  <si>
    <t>Baseline - Summer</t>
  </si>
  <si>
    <t xml:space="preserve">Bundled Residential Rev Req </t>
  </si>
  <si>
    <t>- Winter</t>
  </si>
  <si>
    <t>Current</t>
  </si>
  <si>
    <t>101% - 400% of Baseline - Summer</t>
  </si>
  <si>
    <t>Change (Authorized)</t>
  </si>
  <si>
    <t>Proposed (Authorized)</t>
  </si>
  <si>
    <t>401% of Baseline - Summer</t>
  </si>
  <si>
    <t>Change (w/Pending)</t>
  </si>
  <si>
    <t>Proposed (w/Pending)</t>
  </si>
  <si>
    <t>Climate Zone</t>
  </si>
  <si>
    <t>Summer</t>
  </si>
  <si>
    <t>Winter</t>
  </si>
  <si>
    <t>Tier 1</t>
  </si>
  <si>
    <t>Tier 2</t>
  </si>
  <si>
    <t>Population Weight</t>
  </si>
  <si>
    <t>Mountain</t>
  </si>
  <si>
    <t>Desert</t>
  </si>
  <si>
    <t>Inland</t>
  </si>
  <si>
    <t>AL 3514-E</t>
  </si>
  <si>
    <t>Tree Mortality Non-Bypassable Charge (TMNBC)</t>
  </si>
  <si>
    <t>Tree Mortality Non-Bypassable Charge Balancing Account (TMNBCBA)</t>
  </si>
  <si>
    <t>Power Adjustment Balancing Account (PABA) Balancing Account</t>
  </si>
  <si>
    <t>Tax Cut Job Act (TCJA)</t>
  </si>
  <si>
    <t>Officer Compensation Memorandum Account 2019 (OCMA2019)</t>
  </si>
  <si>
    <t>General Rate Case Memorandum Account (GRCMA)</t>
  </si>
  <si>
    <t>Pending Application(s) Not Yet Approved</t>
  </si>
  <si>
    <t>Schedule DR</t>
  </si>
  <si>
    <t>Schedule DR [CARE]</t>
  </si>
  <si>
    <t>131% - 400% of Baseline - Summer</t>
  </si>
  <si>
    <t>SCHEDULE DR RATES ($/kWh)</t>
  </si>
  <si>
    <t>SCHEDULE DR [CARE] ($/kWh)</t>
  </si>
  <si>
    <t>CARE Res Allocation Factor</t>
  </si>
  <si>
    <t>AL 3535-E</t>
  </si>
  <si>
    <t>(C)/(A)</t>
  </si>
  <si>
    <t>(C)/(B)</t>
  </si>
  <si>
    <t>w/Proposed</t>
  </si>
  <si>
    <t>Proposed Avg Rates</t>
  </si>
  <si>
    <t>% Change</t>
  </si>
  <si>
    <t>AL 3619-E</t>
  </si>
  <si>
    <t>Wildfire Fund NBC</t>
  </si>
  <si>
    <t>Desert - Hot</t>
  </si>
  <si>
    <t>Coastal - Mild</t>
  </si>
  <si>
    <t>Inland - Warm</t>
  </si>
  <si>
    <t>Mountain - Extreme</t>
  </si>
  <si>
    <t>Application</t>
  </si>
  <si>
    <t>System Usage</t>
  </si>
  <si>
    <t>Total kWh</t>
  </si>
  <si>
    <t>Authorized System Sales</t>
  </si>
  <si>
    <t>% of CARE Sales</t>
  </si>
  <si>
    <t>Res CARE Authorized kWh Usage*</t>
  </si>
  <si>
    <t>AL 3669-E-A</t>
  </si>
  <si>
    <t>21st Century Energy Systems Balancing Account (CES-21BA)</t>
  </si>
  <si>
    <t>Liability Insurance Premium Balancing Account (LIPBA)</t>
  </si>
  <si>
    <t>Rate Reform Memo Account - Commodity</t>
  </si>
  <si>
    <t>Rate Reform Memo Account - Distribution</t>
  </si>
  <si>
    <t>Port Energy Management Plan (PEMP)</t>
  </si>
  <si>
    <t>San Diego Unified Port District (SDUPD)</t>
  </si>
  <si>
    <t>Net Energy Metering Measurement and Evaluation (NEMME)</t>
  </si>
  <si>
    <t>Port Energy Management Plan Balancing Account (PEMPBA)</t>
  </si>
  <si>
    <t>San Diego Unified Port District Balancing Account (SDUPDBA)</t>
  </si>
  <si>
    <t>Net Energy Metering Measurement and Evaluation Balancing Account (NEMMEBA)</t>
  </si>
  <si>
    <t>New Environmental Regulatory Balancing Account (NERBA)</t>
  </si>
  <si>
    <t>Gains/Loss On Sale Memorandum Account</t>
  </si>
  <si>
    <t>Reliability Services (RSBA)</t>
  </si>
  <si>
    <t>CPUC Fee</t>
  </si>
  <si>
    <t>Total With CPUC Fee</t>
  </si>
  <si>
    <t>SCHEDULE DR-LI [CARE] ($/kWh)</t>
  </si>
  <si>
    <t>AL 3696-E-A-B</t>
  </si>
  <si>
    <t>Revenue Split - Bundled Customer</t>
  </si>
  <si>
    <t>Power Adjustment Balancing Account (PABA) Balancing Account - Departed Load</t>
  </si>
  <si>
    <t>PCIA</t>
  </si>
  <si>
    <t>ERRA Balancing Accounts (PABA) - Departed Load</t>
  </si>
  <si>
    <t>w/Pending Total UDC</t>
  </si>
  <si>
    <t>Authorized Commodity</t>
  </si>
  <si>
    <t>w/Pending Commodity</t>
  </si>
  <si>
    <t>Total Revenue Requirement</t>
  </si>
  <si>
    <t xml:space="preserve">Authorized </t>
  </si>
  <si>
    <t>Total UDC w/Proposed</t>
  </si>
  <si>
    <t>Commodity w/Proposed</t>
  </si>
  <si>
    <t>Note: Bill inserts include CPUC fee in the calculations</t>
  </si>
  <si>
    <t>System Sales Forecast</t>
  </si>
  <si>
    <t>Change (Proposed)</t>
  </si>
  <si>
    <t>Proposed (w/ Current Revenues)</t>
  </si>
  <si>
    <t>AL 3756-E</t>
  </si>
  <si>
    <t>CARE Surcharge and Administration</t>
  </si>
  <si>
    <t>Monthly Essential Baseline Allowance -ALL-ELECTRIC (kWh)</t>
  </si>
  <si>
    <t>Monthly Essential Baseline Allowance -BASIC (kWh)</t>
  </si>
  <si>
    <t>Essential Usage Basic Bundled Non-CARE Customer</t>
  </si>
  <si>
    <t>Essential Usage Basic Bundled CARE Customer</t>
  </si>
  <si>
    <t>Monthly Tier 1 Baseline Allowance -ALL-ELECTRIC (kWh)</t>
  </si>
  <si>
    <t>Monthly Tier 1 Baseline Allowance -BASIC (kWh)</t>
  </si>
  <si>
    <t>Monthly Tier 1 Baseline Allowance - ALL-ELECTRIC (kWh)</t>
  </si>
  <si>
    <t>Essential Usage All-Electric Bundled Non-CARE Customer</t>
  </si>
  <si>
    <t>Essential Usage All-Electric Bundled CARE Customer</t>
  </si>
  <si>
    <t xml:space="preserve">Typical Monthly Usage Basic Bundled Non-CARE Customer </t>
  </si>
  <si>
    <t xml:space="preserve">Typical Monthly Usage Basic Bundled CARE Customer </t>
  </si>
  <si>
    <t xml:space="preserve">Typical Monthly Usage All-Electric Bundled Non-CARE Customer </t>
  </si>
  <si>
    <t xml:space="preserve">Typical Monthly Usage All-Electric Bundled CARE Customer </t>
  </si>
  <si>
    <t>Basic Bundled Residential Monthly Average Bills</t>
  </si>
  <si>
    <t>Basic Bundled Residential Monthly Average Bills - Summer</t>
  </si>
  <si>
    <t>Basic Bundled Residential Monthly Average Bills - Winter</t>
  </si>
  <si>
    <t>All-Electric Bundled Residential Monthly Average Bills</t>
  </si>
  <si>
    <t>All-Electric Bundled Residential Monthly Average Bills - Summer</t>
  </si>
  <si>
    <t>Essential Usage Basic Bundled Non-CARE Customer Bill</t>
  </si>
  <si>
    <t>Essential Usage Basic Bundled CARE Customer Bill</t>
  </si>
  <si>
    <t>Essential Use  - Non-CARE</t>
  </si>
  <si>
    <t>Essential Use - CARE</t>
  </si>
  <si>
    <t>All-Electric Bundled Residential Monthly Average Bills - Winter</t>
  </si>
  <si>
    <t>Basic Bundled Essential Use Residential Monthly Average Bills - Winter</t>
  </si>
  <si>
    <t>Basic Bundled Essential Use Residential Monthly Average Bills - Summer</t>
  </si>
  <si>
    <t>Basic Bundled Typical Residential Monthly Average Bills - Summer</t>
  </si>
  <si>
    <t>Basic Bundled Typical Residential Monthly Average Bills - Winter</t>
  </si>
  <si>
    <t>All-Electric Bundled Typical Residential Monthly Average Bills - Winter</t>
  </si>
  <si>
    <t>All-Electric Bundled Typical Residential Monthly Average Bills - Summer</t>
  </si>
  <si>
    <t>All-Electric Bundled Typical Residential Monthly Average Bills</t>
  </si>
  <si>
    <t>All-Electric Bundled Essential Use Residential Monthly Average Bills - Summer</t>
  </si>
  <si>
    <t>All-Electric Bundled Essential Use Residential Monthly Average Bills - Winter</t>
  </si>
  <si>
    <t>All-Electric Bundled Essential Use Residential Monthly Average Bills</t>
  </si>
  <si>
    <t>Basic Bundled Essential Use Residential Monthly Average Bills</t>
  </si>
  <si>
    <t>Basic Bundled Typical Residential Monthly Average Bills</t>
  </si>
  <si>
    <t>AL 3855-E</t>
  </si>
  <si>
    <t>School Energy Efficiency Stimulus Program (SEESPBA)</t>
  </si>
  <si>
    <t>Wildfire and Natural Disaster Resiliency Rebuild Program (WNDRR)</t>
  </si>
  <si>
    <t>Residential Uncollectable Balancing Account (RUBA) - Distribution</t>
  </si>
  <si>
    <t>Cap Balancing Account Balance (CAPBA) Trigger -Departed Load</t>
  </si>
  <si>
    <t>CAPBA Undercollection Balancing Account - Departed Load - ERRA Trigger</t>
  </si>
  <si>
    <t>CAPBA Undercollection Balancing Account - Departed Load - ERRA Forecast</t>
  </si>
  <si>
    <t>Residential Uncollectible Balancing Account (RUBA)</t>
  </si>
  <si>
    <t>Flex Alert Balancing Account (FABA)</t>
  </si>
  <si>
    <t>Economic Development Rate (EDR)</t>
  </si>
  <si>
    <t>Advanced Metering and Demand Response (AMDRMA) - Generation</t>
  </si>
  <si>
    <t>Distribution Resources Plan Demonstration (DRPDBA)</t>
  </si>
  <si>
    <t>Emergency Load Reduction (ELRBA)</t>
  </si>
  <si>
    <t>Residential Uncollectible Balancing Account (RUBA) Amortization</t>
  </si>
  <si>
    <t>Flex Alert Balancing Account (FABA) Amortization</t>
  </si>
  <si>
    <t>School Energy Efficiency Stimulus Program Bal. Acct. (SEESPBA)</t>
  </si>
  <si>
    <t>Economic Development Rate Balancing Account (EDRBA)</t>
  </si>
  <si>
    <t>Residential Uncollectable Balancing Account (RUBA) - Generation</t>
  </si>
  <si>
    <t>PABA Revenue Requirement- Bundled Customers</t>
  </si>
  <si>
    <t>Cap Balancing Account Balance (CAPBA) Trigger - Bundled Customers</t>
  </si>
  <si>
    <t>Cap Balancing Account Balance (CAPBA) Revenue Requirement - Bundled Customers</t>
  </si>
  <si>
    <t>PABA Revenue Requirement - Departed Load</t>
  </si>
  <si>
    <t>AL 3928-E</t>
  </si>
  <si>
    <t>UDC</t>
  </si>
  <si>
    <t>Current Rate</t>
  </si>
  <si>
    <t>% Change in Authorized</t>
  </si>
  <si>
    <t xml:space="preserve">in Total Rate </t>
  </si>
  <si>
    <t>% Change in Pending</t>
  </si>
  <si>
    <t>AL 4004-E</t>
  </si>
  <si>
    <t>Power Adjustment Balancing Account (PABA) Revenue Requirement</t>
  </si>
  <si>
    <t>Power Adjustment Balancing Account (PABA) - Revenue Requirement Departed Load</t>
  </si>
  <si>
    <t>Catastrophic Events Memorandum Account (CEMA)</t>
  </si>
  <si>
    <t>A.22-10-021</t>
  </si>
  <si>
    <t>SYSTEM NET</t>
  </si>
  <si>
    <t>SYSTEM DELIVERED</t>
  </si>
  <si>
    <t>BUNDLED</t>
  </si>
  <si>
    <t>* Methodology authorized in 2019 GRC Phase II; updated annually with new sales forecasts</t>
  </si>
  <si>
    <t>Incremental Rev Req</t>
  </si>
  <si>
    <t>Customer Information System Balancing Account (CISBA)</t>
  </si>
  <si>
    <t>Transition, Stabilization, and Organizational Change Management Balancing Account (TSOBA)</t>
  </si>
  <si>
    <t>GRC Private Letter Ruling (GRC PLR)</t>
  </si>
  <si>
    <t>Disadvantaged Communities – Green Tariff Balancing Account (DACGTBA)</t>
  </si>
  <si>
    <t>Community Solar Green Tariff Balancing Account (CSGTBA)</t>
  </si>
  <si>
    <t>Tree Trimming Balancing Account (TTBA) - 2019</t>
  </si>
  <si>
    <t>Advanced Metering and Demand Response - Targeted Summer Reliability Phase 2 Subaccount</t>
  </si>
  <si>
    <t>Wildfire and Natural Disaster Resiliency Rebuild Program (WNDRR) Amortization</t>
  </si>
  <si>
    <t>Transportation Electrification (TEF)</t>
  </si>
  <si>
    <t>AL 4128-E</t>
  </si>
  <si>
    <t>Power Your Drive Extension Program (PYD 2.0)</t>
  </si>
  <si>
    <t xml:space="preserve">Summary of Selected Data </t>
  </si>
  <si>
    <t xml:space="preserve"> Requirement</t>
  </si>
  <si>
    <t>Current total system-level revenue requirement that is used for defining the reporting threshold:</t>
  </si>
  <si>
    <t>A</t>
  </si>
  <si>
    <t>One-percent reporting threshold</t>
  </si>
  <si>
    <t>List of currently open proceedings that exceed the threshold for use of the affordability metrics (proceedings shaded gray filed prior to D.22-08-023):</t>
  </si>
  <si>
    <t>B</t>
  </si>
  <si>
    <t>C</t>
  </si>
  <si>
    <t>D</t>
  </si>
  <si>
    <t>E</t>
  </si>
  <si>
    <t>List of currently open proceedings for which affordability metrics have been filed:</t>
  </si>
  <si>
    <t>List of currently open proceedings that do not exceed the threshold for use of the affordability metrics (proceedings shaded gray filed prior to D.22-08-023):</t>
  </si>
  <si>
    <t>Total system-level revenue requirement if all pending revenue were granted in full:
requests were granted in full</t>
  </si>
  <si>
    <t>YE 2025</t>
  </si>
  <si>
    <t>Bundled residential average rate (RAR) if all pending revenue were granted in full (from Cost and Rate Tracker (CRT) as submitted by utility):</t>
  </si>
  <si>
    <t>cents/kWh</t>
  </si>
  <si>
    <t>($000)</t>
  </si>
  <si>
    <t>YE 2026</t>
  </si>
  <si>
    <t>YE 2027</t>
  </si>
  <si>
    <t>Bundled Residential Rate (cents/kWh)</t>
  </si>
  <si>
    <t>Current - Calculated</t>
  </si>
  <si>
    <t>Bundled residential weighted average monthly bill corresponding to RAR above for typical customer in Coastal climate zone using 400 kWh on Basic service (from CRT as submitted by utility):</t>
  </si>
  <si>
    <t>Transportation Electrification Advisory Services (TEAS)</t>
  </si>
  <si>
    <t>ERRA Forecast + GHG Costs</t>
  </si>
  <si>
    <t>*</t>
  </si>
  <si>
    <t>Residential Allocation</t>
  </si>
  <si>
    <t>WMPMA</t>
  </si>
  <si>
    <t>A.22-05-016 Track 2</t>
  </si>
  <si>
    <t>Balancing Account Balances frozen at current values</t>
  </si>
  <si>
    <t>Incremental Revenue Requirement with FF&amp;U ($000) - Breakout by Year
Note: values for outer years are held constant for items that request changes only one year in advance</t>
  </si>
  <si>
    <t>Percentage of Income Payment Plan Balancing Account (PIPPBA) - Bundled</t>
  </si>
  <si>
    <t>Percentage of Income Payment Plan Balancing Account (PIPPBA) - CCA</t>
  </si>
  <si>
    <t>BioMat Non-Bypassable Charge Balancing Account (BNBCBA)</t>
  </si>
  <si>
    <t>CT O&amp;M Advisory Program (TEAS)</t>
  </si>
  <si>
    <t>MCAM</t>
  </si>
  <si>
    <t>Microgrid Balancing Account (MGBA)</t>
  </si>
  <si>
    <t>Microgrid Reservation Capacity Component-Standby Charge Suspension Account (MSSA)</t>
  </si>
  <si>
    <t>Essential Use Study Balancing Account (EUSBA)</t>
  </si>
  <si>
    <t>TACBAA</t>
  </si>
  <si>
    <t>2024 GRC Track 2 - Wildfire Mitigation Costs (WMPMA)</t>
  </si>
  <si>
    <t>AL 4344-E</t>
  </si>
  <si>
    <t>Small Commercial</t>
  </si>
  <si>
    <t>Schedule TOU-A</t>
  </si>
  <si>
    <t>On-Peak Summer - Secondary</t>
  </si>
  <si>
    <t xml:space="preserve">Bundled Small Commercial Rev Req </t>
  </si>
  <si>
    <t>Off-Peak Summer - Secondary</t>
  </si>
  <si>
    <t>On-Peak Winter - Secondary</t>
  </si>
  <si>
    <t>Off-Peak Winter - Secondary</t>
  </si>
  <si>
    <t>Bundled Small Commercial Rate (cents/kWh)</t>
  </si>
  <si>
    <t>SCHEDULE TOU-A RATES ($/kWh)</t>
  </si>
  <si>
    <t>NAICS</t>
  </si>
  <si>
    <t>On-Peak - Secondary</t>
  </si>
  <si>
    <t>kWh</t>
  </si>
  <si>
    <t>On-Peak</t>
  </si>
  <si>
    <t>Off-Peak</t>
  </si>
  <si>
    <t>Average Max Demand</t>
  </si>
  <si>
    <t>Off-Peak - Secondary</t>
  </si>
  <si>
    <t>NAICS 531</t>
  </si>
  <si>
    <t>NAICS 621</t>
  </si>
  <si>
    <t>NAICS 722</t>
  </si>
  <si>
    <t>Note: Bill estimates include CPUC fee in the calculations</t>
  </si>
  <si>
    <t>SCHEDULE TOU-A</t>
  </si>
  <si>
    <t>Basic Service Fee</t>
  </si>
  <si>
    <t xml:space="preserve">            0-5 kW</t>
  </si>
  <si>
    <t xml:space="preserve">          5-20 kW</t>
  </si>
  <si>
    <t xml:space="preserve">          20-50 kW</t>
  </si>
  <si>
    <t xml:space="preserve">          &gt;50 kW</t>
  </si>
  <si>
    <t>Small Commercial Allocation</t>
  </si>
  <si>
    <t>Small Commercial Monthly Average Bills</t>
  </si>
  <si>
    <t>Small Commercial Monthly Average Bills - Summer</t>
  </si>
  <si>
    <t>Small Commercial Monthly Average Bills - Winter</t>
  </si>
  <si>
    <t>Small Commercial (TOU-A)</t>
  </si>
  <si>
    <t>YE 2028</t>
  </si>
  <si>
    <t>ERRA BA/Trigger - Departed Load</t>
  </si>
  <si>
    <t>Energy Efficiency (EE) / (Post-1997 Electric Energy Efficiency (PEEE)</t>
  </si>
  <si>
    <t>D.22-12-042, AL 4344-E, A.23-05-013, AL 4300-E</t>
  </si>
  <si>
    <t>D.22-12-042, AL 4344-E, Resolution E-5217, AL 4300-E</t>
  </si>
  <si>
    <t>AL 4344-E, Resolution E-5217</t>
  </si>
  <si>
    <t>D.19-09-051, AL 3352-E, AL 3669-E-A, AL-3808-E, AL 4344-E, Resolution E-5217, A.22-12-008</t>
  </si>
  <si>
    <t>D.23-12-021, AL 4344-E, Resolution E-5217</t>
  </si>
  <si>
    <t>AL 4291-E, AL 4344-E, Resolution E-5217</t>
  </si>
  <si>
    <t>D.14-06-029, AL 4344-E, Resolution E-5217</t>
  </si>
  <si>
    <t>2023-2027 Demand Response (incremental to what is in current balancing accounts)</t>
  </si>
  <si>
    <t>D.23-12-005</t>
  </si>
  <si>
    <t>**</t>
  </si>
  <si>
    <t>Bundled small commercial average rate (TOU-A) if all pending revenue were granted in full (from Cost and Rate Tracker (CRT) as submitted by utility):</t>
  </si>
  <si>
    <t>California Climate Credit</t>
  </si>
  <si>
    <t>2025 SALES DETERMINANTS</t>
  </si>
  <si>
    <t>D.24-07-013</t>
  </si>
  <si>
    <t>SD REN</t>
  </si>
  <si>
    <t>D.24-08-003</t>
  </si>
  <si>
    <t>AL 4366-E</t>
  </si>
  <si>
    <t>Catastrophic Event Memorandum Account (CEMA)</t>
  </si>
  <si>
    <t>San Diego Regional Energy Network (SDREN)</t>
  </si>
  <si>
    <t>Notable Cost and Rate Tracking Tool Assumptions</t>
  </si>
  <si>
    <t>No CCC</t>
  </si>
  <si>
    <t>With CCC</t>
  </si>
  <si>
    <t>Typical residential average usage kWh/month*</t>
  </si>
  <si>
    <t>*This field is editable for analysis purposes; however, SDG&amp;E's typical Residential usage is 400kWh</t>
  </si>
  <si>
    <t>Residential bills below calculated using Schedule DR, Bundled, Single-Family</t>
  </si>
  <si>
    <t>Basic</t>
  </si>
  <si>
    <t>All-Electric</t>
  </si>
  <si>
    <t>Average monthly usage assumptions:</t>
  </si>
  <si>
    <t>Residential Semi-annual Climate Credit</t>
  </si>
  <si>
    <r>
      <t xml:space="preserve">Average monthly usage below is calculated based on the Baseline Region selected in </t>
    </r>
    <r>
      <rPr>
        <b/>
        <sz val="11"/>
        <color theme="1"/>
        <rFont val="Garamond"/>
        <family val="1"/>
      </rPr>
      <t>D3</t>
    </r>
  </si>
  <si>
    <t>Include in Impact (Y/N)</t>
  </si>
  <si>
    <t>Include CA Climate Credit in Rates &amp; Res. Annual Avg Bills?</t>
  </si>
  <si>
    <t>AL 4507-E</t>
  </si>
  <si>
    <t>2024 Recorded Data - Average Monthly Usage - BASIC kWh</t>
  </si>
  <si>
    <t>Annual Period 2025</t>
  </si>
  <si>
    <t>2024 Recorded Data</t>
  </si>
  <si>
    <t>2024 Recorded Data - Average Monthly Usage - ALL-ELECTRIC kWh</t>
  </si>
  <si>
    <t xml:space="preserve">Diablo Canyon </t>
  </si>
  <si>
    <t>Liability Insurance Premium Balancing Account (LIPBA) Over Limits Sub-Account</t>
  </si>
  <si>
    <t>Statewide Energy Efficiency Bal. Acct. (SWEEBA)</t>
  </si>
  <si>
    <t>Distributed Generation Renewable (DGR) Storage Time Metered Under/(Over) Collection - Distribution</t>
  </si>
  <si>
    <t>Distributed Generation Renewable (DGR) Storage Time Metered Under/(Over) Collection - Commodity</t>
  </si>
  <si>
    <t>2024 Recorded Average Basic Bundled Non-CARE Customer Bill</t>
  </si>
  <si>
    <t xml:space="preserve">2024 Recorded Average All-Electric Bundled Non-CARE Customer </t>
  </si>
  <si>
    <t>2024 Recorded Average Basic Bundled CARE Customer Bill</t>
  </si>
  <si>
    <t xml:space="preserve">2024 Recorded Average All-Electric Bundled CARE Customer </t>
  </si>
  <si>
    <t>YE 2029</t>
  </si>
  <si>
    <t>Diablo Canyon PP</t>
  </si>
  <si>
    <t xml:space="preserve"> </t>
  </si>
  <si>
    <t>N/A</t>
  </si>
  <si>
    <t>D.24-12-040, D.24-12-074 D.24-10-008, AL 4553-E, AL 4588-E</t>
  </si>
  <si>
    <t>CARE Line-Item Discount</t>
  </si>
  <si>
    <t>Present</t>
  </si>
  <si>
    <t>Adjustments (ex. CARE and FERA Discounts)</t>
  </si>
  <si>
    <t>Total Adj</t>
  </si>
  <si>
    <t>Adjustments</t>
  </si>
  <si>
    <t>Res. Allocation</t>
  </si>
  <si>
    <t>Small Comm. Allocation</t>
  </si>
  <si>
    <r>
      <t xml:space="preserve">Average monthly usage is for all customers based on seasonal usage in </t>
    </r>
    <r>
      <rPr>
        <b/>
        <sz val="11"/>
        <color theme="1"/>
        <rFont val="Garamond"/>
        <family val="1"/>
      </rPr>
      <t>2024</t>
    </r>
  </si>
  <si>
    <t>check</t>
  </si>
  <si>
    <t>Incremental revenue requirement from 2026-2029.</t>
  </si>
  <si>
    <t>Bundled small commercial weighted average monthly bill corresponding to TOU-A above (from CRT as submitted by utility):</t>
  </si>
  <si>
    <t>New</t>
  </si>
  <si>
    <t>2026-2029</t>
  </si>
  <si>
    <t>AL 4588-E</t>
  </si>
  <si>
    <t>Non-Officer Compensation</t>
  </si>
  <si>
    <t>ERRA 2026 Forecast</t>
  </si>
  <si>
    <t>A.25-04-014</t>
  </si>
  <si>
    <t>GRC P1 Track 3 - WMPMA</t>
  </si>
  <si>
    <t>A.22-05-015 / 016 Track 3</t>
  </si>
  <si>
    <t>AL 4628-E/3410-G, AL 4628-E-A / 3410-G-A</t>
  </si>
  <si>
    <t>Advice Letter</t>
  </si>
  <si>
    <t>2026 Cost of Capital</t>
  </si>
  <si>
    <t>A.25-03-013</t>
  </si>
  <si>
    <t>A.22-05-015 / 016 Track 2</t>
  </si>
  <si>
    <t>A.25-03-015</t>
  </si>
  <si>
    <t>2026 Public Purpose Program (PPP)</t>
  </si>
  <si>
    <t>GRC P1 Track 2 - WMPMA</t>
  </si>
  <si>
    <t>2026 SALES DETERMINANTS</t>
  </si>
  <si>
    <t>2027-2032</t>
  </si>
  <si>
    <t>Rate Impact for Year (2025-2029)</t>
  </si>
  <si>
    <t>A.25-05-012</t>
  </si>
  <si>
    <t>Incremental revenue requirement from 2027-2029.</t>
  </si>
  <si>
    <t>AL 4129-E</t>
  </si>
  <si>
    <t>2026 Cost of Capital - Late-Filed Exhibit</t>
  </si>
  <si>
    <t>Rebuttal Testimony</t>
  </si>
  <si>
    <t>2026 ERRA</t>
  </si>
  <si>
    <t>10/1/25</t>
  </si>
  <si>
    <t>6/1/2025</t>
  </si>
  <si>
    <t>AL 4701-E</t>
  </si>
  <si>
    <t>AL 4717-E</t>
  </si>
  <si>
    <t>2024 GRC Adjustment - Paperless Billing</t>
  </si>
  <si>
    <t>2026 Reg Accounts</t>
  </si>
  <si>
    <t>2026 NGBA</t>
  </si>
  <si>
    <t>2026 TRAC</t>
  </si>
  <si>
    <t>Critical Peak Pricing Default (CPP-D) Under/ (Over) Collection</t>
  </si>
  <si>
    <t>Smart Pricing Program (SPP) Under/Over Collection</t>
  </si>
  <si>
    <t>2026 Wildfire Fund NBC</t>
  </si>
  <si>
    <t>PD issued 10/24/2025</t>
  </si>
  <si>
    <t>Proposed Decision</t>
  </si>
  <si>
    <t>ER26-553-000</t>
  </si>
  <si>
    <t>BSC - $/Day</t>
  </si>
  <si>
    <t>BSC - $/Month</t>
  </si>
  <si>
    <t xml:space="preserve"> Assumes a 30-day month</t>
  </si>
  <si>
    <t>4/12/24 Scoping Memo suspended program</t>
  </si>
  <si>
    <t>AL 4758-E, Resolution E-5217</t>
  </si>
  <si>
    <t>Linking to external document outside of Prelim</t>
  </si>
  <si>
    <t>RSBA 2026</t>
  </si>
  <si>
    <t>2026-2031</t>
  </si>
  <si>
    <t>AL 4653-E</t>
  </si>
  <si>
    <t>The last column represents the current authorized revenue requirements as of this submission.</t>
  </si>
  <si>
    <t>GRC P1 Track 3 - WMPMA**</t>
  </si>
  <si>
    <t>GRC Track 2 – 2019-2022 WMPMA*</t>
  </si>
  <si>
    <t>D.24-10-008, D.24-12-074, AL 4553-E</t>
  </si>
  <si>
    <t>D.24-12-074, AL 4588-E</t>
  </si>
  <si>
    <t>D.24-12-074, AL 4588-E, D.24-12-074, AL 4588-E</t>
  </si>
  <si>
    <t>D.24-12-040, AL 4588-E</t>
  </si>
  <si>
    <t>D.24-12-040, AL 4588-E, Resolution E-5217</t>
  </si>
  <si>
    <t>AL 4588-E, Resolution E-5217</t>
  </si>
  <si>
    <t>D.24-06-003</t>
  </si>
  <si>
    <t>A.23-05-010</t>
  </si>
  <si>
    <t>D.24-12-040</t>
  </si>
  <si>
    <t>D.24-08-001, D.24-12-040</t>
  </si>
  <si>
    <t>D.24-12-001</t>
  </si>
  <si>
    <t>D.21-07-028, AL 4233-E, Resolution E-5300</t>
  </si>
  <si>
    <t>D.24-02-010</t>
  </si>
  <si>
    <t>D.24-07-013, AL 4507-E/3345-G, AL 4588-E</t>
  </si>
  <si>
    <t>D.19-09-051, D.22-12-031, D.24-10-008, AL 4078-E, AL 4078-E-A, AL 4553-E</t>
  </si>
  <si>
    <t>D.19-08-026, D.22-12-031,  D.24-10-008, AL 3489-E-A, AL 4553-E</t>
  </si>
  <si>
    <t>D.19-11-017, D.22-12-031, D.24-10-008, AL 3480-E-A, AL 4553-E</t>
  </si>
  <si>
    <t>D.19-08-026, D.22-12-031, D.24-10-008, AL 3489-E-A, AL 4553-E</t>
  </si>
  <si>
    <t>AL 4511-E/3342-G</t>
  </si>
  <si>
    <t>D.21-04-014, D.22-12-031, D.24-10-008, AL 3765-E, AL 3765-E-A, AL 4553-E</t>
  </si>
  <si>
    <t>D.08-02-034, AL 2209-E, AL 4588-E</t>
  </si>
  <si>
    <t>D.08-02-034, AL 2069-E, AL 4588-E</t>
  </si>
  <si>
    <t>D.14-01-002, AL 4588-E</t>
  </si>
  <si>
    <t>D.12-12-004, AL 2816-E, AL 4588-E</t>
  </si>
  <si>
    <t>AL 4504-E</t>
  </si>
  <si>
    <t>D.20-01-021</t>
  </si>
  <si>
    <t>AL 4504-E, AL 4588-E, Resolution E-5217</t>
  </si>
  <si>
    <t>AL 4285-E, AL 4588-E, Resolution E-5217</t>
  </si>
  <si>
    <t>D.14-06-029, AL 4588-E, Resolution E-5217</t>
  </si>
  <si>
    <t>D.24-12-040, AL 4504-E</t>
  </si>
  <si>
    <t>D.24-08-003, AL 4507-E, AL 4504-E</t>
  </si>
  <si>
    <t>D.23-12-036, D.24-12-033, AL 4504-E</t>
  </si>
  <si>
    <t>D.19-12-021, AL 4504-E</t>
  </si>
  <si>
    <t>D.21-07-010, AL 2209-E, AL 4319-E, AL 4588-E</t>
  </si>
  <si>
    <t>ER25-270-000</t>
  </si>
  <si>
    <t>ER25-405-000</t>
  </si>
  <si>
    <t>ER25-218-000</t>
  </si>
  <si>
    <t>ER25-694-000</t>
  </si>
  <si>
    <t>D.25-09-030, AL 4737-E, 4758-E</t>
  </si>
  <si>
    <t>AL 4483-E/3325-G, AL 4758-E</t>
  </si>
  <si>
    <t>TO6 Cycle 2 Informational Filing</t>
  </si>
  <si>
    <t>ER26-336-000</t>
  </si>
  <si>
    <t>Reporting Date: Quarter Ended December 31</t>
  </si>
  <si>
    <t>Submitted December 1, 2025</t>
  </si>
  <si>
    <t>CPUC fee</t>
  </si>
  <si>
    <t>SDG&amp;E Electric Revenue Requirement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</si>
</sst>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  <numFmt numFmtId="166" formatCode="#.00"/>
    <numFmt numFmtId="167" formatCode="#,##0."/>
    <numFmt numFmtId="168" formatCode="&quot;$&quot;#."/>
    <numFmt numFmtId="169" formatCode="0.00_)"/>
    <numFmt numFmtId="170" formatCode="#,##0.00&quot; $&quot;;\-#,##0.00&quot; $&quot;"/>
    <numFmt numFmtId="171" formatCode="m\-d\-yy"/>
    <numFmt numFmtId="172" formatCode="_(* #,##0_);_(* \(#,##0\);_(* &quot;-&quot;??_);_(@_)"/>
    <numFmt numFmtId="173" formatCode="_(&quot;$&quot;* #,##0_);_(&quot;$&quot;* \(#,##0\);_(&quot;$&quot;* &quot;-&quot;??_);_(@_)"/>
    <numFmt numFmtId="174" formatCode="#,##0.0"/>
    <numFmt numFmtId="175" formatCode="_(* #,##0.000000_);_(* \(#,##0.000000\);_(* &quot;-&quot;??_);_(@_)"/>
    <numFmt numFmtId="176" formatCode="#,##0.00000_);[Red]\(#,##0.00000\)"/>
    <numFmt numFmtId="177" formatCode="0.00000"/>
    <numFmt numFmtId="178" formatCode="0.0"/>
    <numFmt numFmtId="179" formatCode="_(* #,##0.000_);_(* \(#,##0.000\);_(* &quot;-&quot;??_);_(@_)"/>
    <numFmt numFmtId="180" formatCode="General_)"/>
    <numFmt numFmtId="181" formatCode="&quot;$&quot;#,##0.00000"/>
    <numFmt numFmtId="182" formatCode="#,##0.00000_);\(#,##0.00000\)"/>
    <numFmt numFmtId="183" formatCode="_(* #,##0.00000_);_(* \(#,##0.00000\);_(* &quot;-&quot;??_);_(@_)"/>
    <numFmt numFmtId="184" formatCode="0.000"/>
    <numFmt numFmtId="185" formatCode="0.0000"/>
    <numFmt numFmtId="186" formatCode="0.00_);\(0.00\)"/>
    <numFmt numFmtId="187" formatCode="[$-F800]dddd\,\ mmmm\ dd\,\ yyyy"/>
    <numFmt numFmtId="188" formatCode="0.0000000000"/>
    <numFmt numFmtId="189" formatCode="_-* #,##0.0_-;\-* #,##0.0_-;_-* &quot;-&quot;??_-;_-@_-"/>
    <numFmt numFmtId="190" formatCode="&quot;$&quot;#,##0.00"/>
    <numFmt numFmtId="191" formatCode="&quot;$&quot;#,##0"/>
    <numFmt numFmtId="192" formatCode="#,##0.000_);[Red]\(#,##0.000\)"/>
    <numFmt numFmtId="193" formatCode="#,##0.000"/>
    <numFmt numFmtId="195" formatCode="#,##0.000_);\(#,##0.000\)"/>
    <numFmt numFmtId="198" formatCode="#,##0.000000_);\(#,##0.000000\)"/>
    <numFmt numFmtId="199" formatCode="0.00000_);\(0.00000\)"/>
    <numFmt numFmtId="200" formatCode="_(* #,##0.0000_);_(* \(#,##0.0000\);_(* &quot;-&quot;??_);_(@_)"/>
    <numFmt numFmtId="201" formatCode="_(* #,##0.0_);_(* \(#,##0.0\);_(* &quot;-&quot;??_);_(@_)"/>
  </numFmts>
  <fonts count="7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10"/>
      <name val="Garamond"/>
      <family val="1"/>
    </font>
    <font>
      <sz val="10"/>
      <color indexed="10"/>
      <name val="Garamond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333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b/>
      <sz val="11"/>
      <color theme="1"/>
      <name val="Garamond"/>
      <family val="1"/>
    </font>
    <font>
      <sz val="11"/>
      <color rgb="FF3333FF"/>
      <name val="Garamond"/>
      <family val="1"/>
    </font>
    <font>
      <b/>
      <sz val="11"/>
      <color rgb="FF008AF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rgb="FFFF0000"/>
      <name val="Garamond"/>
      <family val="1"/>
    </font>
    <font>
      <b/>
      <sz val="12"/>
      <color rgb="FF3333FF"/>
      <name val="Garamond"/>
      <family val="1"/>
    </font>
    <font>
      <sz val="12"/>
      <color theme="1"/>
      <name val="Garamond"/>
      <family val="1"/>
    </font>
    <font>
      <b/>
      <sz val="11"/>
      <color rgb="FF3333FF"/>
      <name val="Garamond"/>
      <family val="1"/>
    </font>
    <font>
      <sz val="12"/>
      <color rgb="FFFF0000"/>
      <name val="Garamond"/>
      <family val="1"/>
    </font>
    <font>
      <u/>
      <sz val="10"/>
      <name val="Garamond"/>
      <family val="1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Garamond"/>
      <family val="1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FF"/>
      <name val="Arial"/>
      <family val="2"/>
    </font>
    <font>
      <sz val="14"/>
      <color rgb="FFFF0000"/>
      <name val="Garamond"/>
      <family val="1"/>
    </font>
    <font>
      <sz val="10"/>
      <color theme="1"/>
      <name val="Arial"/>
      <family val="2"/>
    </font>
    <font>
      <b/>
      <i/>
      <sz val="16"/>
      <name val="Helv"/>
      <family val="2"/>
    </font>
    <font>
      <sz val="10"/>
      <name val="Geneva"/>
      <family val="2"/>
    </font>
    <font>
      <sz val="11"/>
      <name val="??"/>
      <family val="3"/>
      <charset val="129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1"/>
      <color theme="9" tint="-0.249977111117893"/>
      <name val="Garamond"/>
      <family val="1"/>
    </font>
    <font>
      <sz val="11"/>
      <color theme="9" tint="-0.249977111117893"/>
      <name val="Garamond"/>
      <family val="1"/>
    </font>
    <font>
      <b/>
      <sz val="12"/>
      <color theme="9" tint="-0.249977111117893"/>
      <name val="Garamond"/>
      <family val="1"/>
    </font>
    <font>
      <sz val="11"/>
      <color theme="2" tint="-9.9978637043366805E-2"/>
      <name val="Garamond"/>
      <family val="1"/>
    </font>
    <font>
      <sz val="11"/>
      <color theme="2" tint="-9.9978637043366805E-2"/>
      <name val="Calibri"/>
      <family val="2"/>
      <scheme val="minor"/>
    </font>
    <font>
      <b/>
      <sz val="8"/>
      <name val="Arial"/>
      <family val="2"/>
    </font>
    <font>
      <sz val="10"/>
      <color rgb="FFFF0000"/>
      <name val="Garamond"/>
      <family val="1"/>
    </font>
    <font>
      <b/>
      <sz val="11"/>
      <color rgb="FFFF0000"/>
      <name val="Garamond"/>
      <family val="1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42424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trike/>
      <sz val="11"/>
      <color theme="0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71">
    <xf numFmtId="0" fontId="0" fillId="0" borderId="0"/>
    <xf numFmtId="0" fontId="2" fillId="0" borderId="0"/>
    <xf numFmtId="171" fontId="3" fillId="2" borderId="2">
      <alignment horizontal="center" vertical="center"/>
    </xf>
    <xf numFmtId="43" fontId="2" fillId="0" borderId="0" applyFont="0" applyFill="0" applyBorder="0" applyAlignment="0" applyProtection="0"/>
    <xf numFmtId="167" fontId="5" fillId="0" borderId="0"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5" fillId="0" borderId="0">
      <protection locked="0"/>
    </xf>
    <xf numFmtId="0" fontId="5" fillId="0" borderId="0">
      <protection locked="0"/>
    </xf>
    <xf numFmtId="166" fontId="5" fillId="0" borderId="0">
      <protection locked="0"/>
    </xf>
    <xf numFmtId="38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5" fillId="0" borderId="0">
      <protection locked="0"/>
    </xf>
    <xf numFmtId="0" fontId="5" fillId="0" borderId="0">
      <protection locked="0"/>
    </xf>
    <xf numFmtId="170" fontId="2" fillId="0" borderId="0">
      <protection locked="0"/>
    </xf>
    <xf numFmtId="170" fontId="2" fillId="0" borderId="0">
      <protection locked="0"/>
    </xf>
    <xf numFmtId="0" fontId="8" fillId="0" borderId="3" applyNumberFormat="0" applyFill="0" applyAlignment="0" applyProtection="0"/>
    <xf numFmtId="10" fontId="6" fillId="4" borderId="4" applyNumberFormat="0" applyBorder="0" applyAlignment="0" applyProtection="0"/>
    <xf numFmtId="37" fontId="9" fillId="0" borderId="0"/>
    <xf numFmtId="169" fontId="1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5">
      <protection locked="0"/>
    </xf>
    <xf numFmtId="37" fontId="6" fillId="5" borderId="0" applyNumberFormat="0" applyBorder="0" applyAlignment="0" applyProtection="0"/>
    <xf numFmtId="37" fontId="6" fillId="0" borderId="0"/>
    <xf numFmtId="37" fontId="6" fillId="5" borderId="0" applyNumberFormat="0" applyBorder="0" applyAlignment="0" applyProtection="0"/>
    <xf numFmtId="3" fontId="11" fillId="0" borderId="3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0" fontId="2" fillId="0" borderId="0"/>
    <xf numFmtId="180" fontId="6" fillId="0" borderId="0"/>
    <xf numFmtId="9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4" applyNumberFormat="0" applyBorder="0" applyAlignment="0" applyProtection="0"/>
    <xf numFmtId="169" fontId="46" fillId="0" borderId="0"/>
    <xf numFmtId="0" fontId="6" fillId="5" borderId="0" applyNumberFormat="0" applyBorder="0" applyAlignment="0" applyProtection="0"/>
    <xf numFmtId="0" fontId="18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188" fontId="47" fillId="2" borderId="2">
      <alignment horizontal="center" vertical="center"/>
    </xf>
    <xf numFmtId="6" fontId="48" fillId="0" borderId="0">
      <protection locked="0"/>
    </xf>
    <xf numFmtId="189" fontId="2" fillId="0" borderId="0">
      <protection locked="0"/>
    </xf>
    <xf numFmtId="0" fontId="2" fillId="0" borderId="0"/>
    <xf numFmtId="0" fontId="2" fillId="0" borderId="0"/>
    <xf numFmtId="180" fontId="6" fillId="0" borderId="0"/>
    <xf numFmtId="188" fontId="47" fillId="2" borderId="2">
      <alignment horizontal="center" vertical="center"/>
    </xf>
    <xf numFmtId="0" fontId="2" fillId="0" borderId="0"/>
    <xf numFmtId="0" fontId="62" fillId="0" borderId="0"/>
    <xf numFmtId="0" fontId="18" fillId="0" borderId="0"/>
    <xf numFmtId="0" fontId="63" fillId="0" borderId="0" applyNumberFormat="0" applyFill="0" applyBorder="0" applyAlignment="0" applyProtection="0"/>
    <xf numFmtId="0" fontId="18" fillId="0" borderId="0"/>
    <xf numFmtId="0" fontId="61" fillId="0" borderId="0"/>
    <xf numFmtId="43" fontId="2" fillId="0" borderId="0" applyFont="0" applyFill="0" applyBorder="0" applyAlignment="0" applyProtection="0"/>
  </cellStyleXfs>
  <cellXfs count="744">
    <xf numFmtId="0" fontId="0" fillId="0" borderId="0" xfId="0"/>
    <xf numFmtId="0" fontId="12" fillId="0" borderId="0" xfId="0" applyFont="1"/>
    <xf numFmtId="43" fontId="12" fillId="0" borderId="0" xfId="0" applyNumberFormat="1" applyFont="1"/>
    <xf numFmtId="3" fontId="12" fillId="0" borderId="0" xfId="0" applyNumberFormat="1" applyFont="1" applyAlignment="1">
      <alignment horizontal="center"/>
    </xf>
    <xf numFmtId="38" fontId="12" fillId="0" borderId="0" xfId="0" applyNumberFormat="1" applyFont="1" applyAlignment="1">
      <alignment horizontal="center"/>
    </xf>
    <xf numFmtId="10" fontId="12" fillId="0" borderId="0" xfId="25" applyNumberFormat="1" applyFont="1" applyAlignment="1">
      <alignment horizontal="center"/>
    </xf>
    <xf numFmtId="0" fontId="15" fillId="0" borderId="0" xfId="0" applyFont="1"/>
    <xf numFmtId="0" fontId="14" fillId="0" borderId="0" xfId="20" applyFont="1"/>
    <xf numFmtId="44" fontId="15" fillId="0" borderId="0" xfId="6" applyFont="1" applyBorder="1"/>
    <xf numFmtId="165" fontId="15" fillId="0" borderId="0" xfId="24" applyNumberFormat="1" applyFont="1" applyBorder="1"/>
    <xf numFmtId="0" fontId="15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37" fontId="0" fillId="0" borderId="0" xfId="0" applyNumberFormat="1"/>
    <xf numFmtId="5" fontId="0" fillId="0" borderId="0" xfId="0" applyNumberFormat="1"/>
    <xf numFmtId="5" fontId="19" fillId="0" borderId="0" xfId="0" applyNumberFormat="1" applyFont="1"/>
    <xf numFmtId="3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1" fillId="0" borderId="0" xfId="0" applyFont="1"/>
    <xf numFmtId="0" fontId="0" fillId="0" borderId="1" xfId="0" applyBorder="1"/>
    <xf numFmtId="0" fontId="12" fillId="0" borderId="0" xfId="0" applyFont="1" applyAlignment="1">
      <alignment horizontal="center"/>
    </xf>
    <xf numFmtId="3" fontId="1" fillId="0" borderId="0" xfId="0" applyNumberFormat="1" applyFont="1"/>
    <xf numFmtId="0" fontId="22" fillId="0" borderId="0" xfId="0" applyFont="1"/>
    <xf numFmtId="172" fontId="0" fillId="0" borderId="0" xfId="0" applyNumberFormat="1"/>
    <xf numFmtId="172" fontId="0" fillId="0" borderId="0" xfId="39" applyNumberFormat="1" applyFont="1"/>
    <xf numFmtId="172" fontId="0" fillId="0" borderId="0" xfId="39" applyNumberFormat="1" applyFont="1" applyFill="1"/>
    <xf numFmtId="41" fontId="0" fillId="0" borderId="0" xfId="0" applyNumberFormat="1"/>
    <xf numFmtId="0" fontId="0" fillId="0" borderId="0" xfId="0" applyAlignment="1">
      <alignment horizontal="right"/>
    </xf>
    <xf numFmtId="173" fontId="0" fillId="0" borderId="0" xfId="35" applyNumberFormat="1" applyFont="1"/>
    <xf numFmtId="41" fontId="0" fillId="0" borderId="0" xfId="39" applyNumberFormat="1" applyFont="1" applyBorder="1"/>
    <xf numFmtId="172" fontId="0" fillId="0" borderId="0" xfId="39" applyNumberFormat="1" applyFont="1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/>
    </xf>
    <xf numFmtId="173" fontId="0" fillId="0" borderId="0" xfId="35" applyNumberFormat="1" applyFont="1" applyBorder="1"/>
    <xf numFmtId="37" fontId="1" fillId="0" borderId="0" xfId="0" applyNumberFormat="1" applyFont="1"/>
    <xf numFmtId="0" fontId="25" fillId="0" borderId="0" xfId="1" applyFont="1" applyAlignment="1">
      <alignment horizontal="center"/>
    </xf>
    <xf numFmtId="0" fontId="26" fillId="0" borderId="0" xfId="1" applyFont="1"/>
    <xf numFmtId="0" fontId="25" fillId="0" borderId="0" xfId="1" applyFont="1"/>
    <xf numFmtId="0" fontId="25" fillId="0" borderId="0" xfId="1" applyFont="1" applyAlignment="1">
      <alignment horizontal="right"/>
    </xf>
    <xf numFmtId="15" fontId="25" fillId="0" borderId="0" xfId="1" applyNumberFormat="1" applyFont="1"/>
    <xf numFmtId="0" fontId="25" fillId="0" borderId="0" xfId="0" applyFont="1"/>
    <xf numFmtId="0" fontId="25" fillId="0" borderId="0" xfId="0" applyFont="1" applyAlignment="1">
      <alignment horizontal="right"/>
    </xf>
    <xf numFmtId="1" fontId="25" fillId="6" borderId="4" xfId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7" fillId="0" borderId="7" xfId="0" applyFont="1" applyBorder="1"/>
    <xf numFmtId="0" fontId="0" fillId="0" borderId="0" xfId="0" applyAlignment="1">
      <alignment horizontal="left"/>
    </xf>
    <xf numFmtId="9" fontId="15" fillId="0" borderId="0" xfId="4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4" xfId="0" applyFont="1" applyBorder="1"/>
    <xf numFmtId="0" fontId="28" fillId="0" borderId="0" xfId="0" applyFont="1" applyAlignment="1">
      <alignment horizontal="center"/>
    </xf>
    <xf numFmtId="14" fontId="25" fillId="0" borderId="4" xfId="1" quotePrefix="1" applyNumberFormat="1" applyFont="1" applyBorder="1" applyAlignment="1">
      <alignment horizontal="center" wrapText="1"/>
    </xf>
    <xf numFmtId="0" fontId="25" fillId="0" borderId="4" xfId="1" applyFont="1" applyBorder="1" applyAlignment="1">
      <alignment horizontal="center" wrapText="1"/>
    </xf>
    <xf numFmtId="0" fontId="25" fillId="0" borderId="17" xfId="1" applyFont="1" applyBorder="1" applyAlignment="1">
      <alignment horizontal="center" wrapText="1"/>
    </xf>
    <xf numFmtId="174" fontId="25" fillId="0" borderId="21" xfId="1" applyNumberFormat="1" applyFont="1" applyBorder="1" applyAlignment="1">
      <alignment horizontal="center"/>
    </xf>
    <xf numFmtId="165" fontId="25" fillId="0" borderId="22" xfId="25" applyNumberFormat="1" applyFont="1" applyFill="1" applyBorder="1" applyAlignment="1">
      <alignment horizontal="center"/>
    </xf>
    <xf numFmtId="165" fontId="25" fillId="0" borderId="23" xfId="25" applyNumberFormat="1" applyFont="1" applyFill="1" applyBorder="1" applyAlignment="1">
      <alignment horizontal="center"/>
    </xf>
    <xf numFmtId="174" fontId="25" fillId="0" borderId="27" xfId="1" applyNumberFormat="1" applyFont="1" applyBorder="1" applyAlignment="1">
      <alignment horizontal="center"/>
    </xf>
    <xf numFmtId="165" fontId="25" fillId="0" borderId="27" xfId="25" applyNumberFormat="1" applyFont="1" applyFill="1" applyBorder="1" applyAlignment="1">
      <alignment horizontal="center"/>
    </xf>
    <xf numFmtId="165" fontId="25" fillId="0" borderId="28" xfId="25" applyNumberFormat="1" applyFont="1" applyFill="1" applyBorder="1" applyAlignment="1">
      <alignment horizontal="center"/>
    </xf>
    <xf numFmtId="174" fontId="15" fillId="0" borderId="0" xfId="0" applyNumberFormat="1" applyFont="1"/>
    <xf numFmtId="0" fontId="25" fillId="0" borderId="18" xfId="1" applyFont="1" applyBorder="1" applyAlignment="1">
      <alignment horizontal="center"/>
    </xf>
    <xf numFmtId="0" fontId="25" fillId="0" borderId="1" xfId="1" applyFont="1" applyBorder="1" applyAlignment="1">
      <alignment horizontal="center"/>
    </xf>
    <xf numFmtId="165" fontId="25" fillId="0" borderId="22" xfId="22" applyNumberFormat="1" applyFont="1" applyFill="1" applyBorder="1" applyAlignment="1">
      <alignment horizontal="center"/>
    </xf>
    <xf numFmtId="165" fontId="25" fillId="0" borderId="21" xfId="22" applyNumberFormat="1" applyFont="1" applyFill="1" applyBorder="1" applyAlignment="1">
      <alignment horizontal="center"/>
    </xf>
    <xf numFmtId="165" fontId="25" fillId="0" borderId="23" xfId="22" applyNumberFormat="1" applyFont="1" applyFill="1" applyBorder="1" applyAlignment="1">
      <alignment horizontal="center"/>
    </xf>
    <xf numFmtId="165" fontId="25" fillId="0" borderId="27" xfId="22" applyNumberFormat="1" applyFont="1" applyFill="1" applyBorder="1" applyAlignment="1">
      <alignment horizontal="center"/>
    </xf>
    <xf numFmtId="165" fontId="25" fillId="0" borderId="28" xfId="22" applyNumberFormat="1" applyFont="1" applyFill="1" applyBorder="1" applyAlignment="1">
      <alignment horizontal="center"/>
    </xf>
    <xf numFmtId="0" fontId="0" fillId="7" borderId="0" xfId="0" applyFill="1"/>
    <xf numFmtId="0" fontId="1" fillId="7" borderId="0" xfId="0" applyFont="1" applyFill="1"/>
    <xf numFmtId="3" fontId="1" fillId="7" borderId="6" xfId="0" applyNumberFormat="1" applyFont="1" applyFill="1" applyBorder="1"/>
    <xf numFmtId="37" fontId="0" fillId="6" borderId="0" xfId="0" applyNumberFormat="1" applyFill="1"/>
    <xf numFmtId="0" fontId="0" fillId="6" borderId="0" xfId="0" applyFill="1"/>
    <xf numFmtId="5" fontId="19" fillId="6" borderId="0" xfId="0" applyNumberFormat="1" applyFont="1" applyFill="1"/>
    <xf numFmtId="0" fontId="30" fillId="6" borderId="0" xfId="0" applyFont="1" applyFill="1" applyAlignment="1">
      <alignment horizontal="right"/>
    </xf>
    <xf numFmtId="0" fontId="31" fillId="0" borderId="0" xfId="0" applyFont="1" applyAlignment="1">
      <alignment horizontal="center" wrapText="1"/>
    </xf>
    <xf numFmtId="0" fontId="26" fillId="0" borderId="0" xfId="1" applyFont="1" applyAlignment="1">
      <alignment horizontal="right"/>
    </xf>
    <xf numFmtId="0" fontId="26" fillId="0" borderId="7" xfId="1" applyFont="1" applyBorder="1" applyAlignment="1">
      <alignment horizontal="center"/>
    </xf>
    <xf numFmtId="0" fontId="15" fillId="0" borderId="0" xfId="0" applyFont="1" applyAlignment="1">
      <alignment vertical="top" wrapText="1"/>
    </xf>
    <xf numFmtId="172" fontId="25" fillId="0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10" fontId="12" fillId="8" borderId="0" xfId="24" applyNumberFormat="1" applyFont="1" applyFill="1" applyAlignment="1">
      <alignment horizontal="center"/>
    </xf>
    <xf numFmtId="165" fontId="12" fillId="0" borderId="0" xfId="24" applyNumberFormat="1" applyFont="1" applyAlignment="1">
      <alignment horizontal="center"/>
    </xf>
    <xf numFmtId="0" fontId="14" fillId="0" borderId="0" xfId="1" applyFont="1"/>
    <xf numFmtId="0" fontId="32" fillId="0" borderId="0" xfId="0" applyFont="1"/>
    <xf numFmtId="172" fontId="12" fillId="0" borderId="0" xfId="0" applyNumberFormat="1" applyFont="1" applyAlignment="1">
      <alignment horizontal="center"/>
    </xf>
    <xf numFmtId="172" fontId="12" fillId="0" borderId="0" xfId="3" applyNumberFormat="1" applyFont="1" applyFill="1"/>
    <xf numFmtId="172" fontId="25" fillId="0" borderId="0" xfId="3" applyNumberFormat="1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9" fontId="33" fillId="0" borderId="0" xfId="40" applyFont="1" applyAlignment="1">
      <alignment horizontal="right"/>
    </xf>
    <xf numFmtId="0" fontId="12" fillId="0" borderId="32" xfId="0" applyFont="1" applyBorder="1" applyAlignment="1">
      <alignment horizontal="center"/>
    </xf>
    <xf numFmtId="172" fontId="12" fillId="0" borderId="32" xfId="3" applyNumberFormat="1" applyFont="1" applyBorder="1"/>
    <xf numFmtId="172" fontId="12" fillId="0" borderId="30" xfId="3" applyNumberFormat="1" applyFont="1" applyBorder="1"/>
    <xf numFmtId="172" fontId="12" fillId="8" borderId="0" xfId="0" applyNumberFormat="1" applyFont="1" applyFill="1" applyAlignment="1">
      <alignment horizontal="center"/>
    </xf>
    <xf numFmtId="43" fontId="15" fillId="0" borderId="0" xfId="0" applyNumberFormat="1" applyFont="1"/>
    <xf numFmtId="172" fontId="12" fillId="0" borderId="0" xfId="3" applyNumberFormat="1" applyFont="1" applyFill="1" applyBorder="1"/>
    <xf numFmtId="175" fontId="15" fillId="0" borderId="0" xfId="0" applyNumberFormat="1" applyFont="1"/>
    <xf numFmtId="43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4" fontId="1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/>
    </xf>
    <xf numFmtId="10" fontId="12" fillId="0" borderId="0" xfId="24" applyNumberFormat="1" applyFont="1"/>
    <xf numFmtId="172" fontId="12" fillId="0" borderId="0" xfId="3" applyNumberFormat="1" applyFont="1"/>
    <xf numFmtId="0" fontId="14" fillId="0" borderId="0" xfId="0" applyFont="1" applyAlignment="1">
      <alignment horizontal="right" vertical="center"/>
    </xf>
    <xf numFmtId="0" fontId="27" fillId="0" borderId="0" xfId="0" applyFont="1"/>
    <xf numFmtId="0" fontId="2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176" fontId="25" fillId="0" borderId="0" xfId="41" applyNumberFormat="1" applyFont="1" applyAlignment="1" applyProtection="1">
      <alignment horizontal="left"/>
      <protection locked="0"/>
    </xf>
    <xf numFmtId="176" fontId="26" fillId="0" borderId="0" xfId="42" applyNumberFormat="1" applyFont="1" applyAlignment="1">
      <alignment horizontal="right"/>
    </xf>
    <xf numFmtId="177" fontId="12" fillId="8" borderId="0" xfId="0" applyNumberFormat="1" applyFont="1" applyFill="1"/>
    <xf numFmtId="173" fontId="12" fillId="0" borderId="0" xfId="35" applyNumberFormat="1" applyFont="1"/>
    <xf numFmtId="178" fontId="12" fillId="0" borderId="0" xfId="0" applyNumberFormat="1" applyFont="1" applyAlignment="1">
      <alignment horizontal="center"/>
    </xf>
    <xf numFmtId="176" fontId="25" fillId="0" borderId="0" xfId="42" quotePrefix="1" applyNumberFormat="1" applyFont="1" applyAlignment="1">
      <alignment horizontal="right"/>
    </xf>
    <xf numFmtId="3" fontId="15" fillId="0" borderId="0" xfId="0" applyNumberFormat="1" applyFont="1"/>
    <xf numFmtId="178" fontId="35" fillId="0" borderId="0" xfId="0" applyNumberFormat="1" applyFont="1"/>
    <xf numFmtId="177" fontId="12" fillId="0" borderId="0" xfId="0" applyNumberFormat="1" applyFont="1"/>
    <xf numFmtId="178" fontId="12" fillId="0" borderId="0" xfId="0" applyNumberFormat="1" applyFont="1"/>
    <xf numFmtId="177" fontId="12" fillId="0" borderId="0" xfId="0" applyNumberFormat="1" applyFont="1" applyAlignment="1">
      <alignment horizontal="center"/>
    </xf>
    <xf numFmtId="176" fontId="25" fillId="0" borderId="0" xfId="41" applyNumberFormat="1" applyFont="1" applyAlignment="1" applyProtection="1">
      <alignment horizontal="right"/>
      <protection locked="0"/>
    </xf>
    <xf numFmtId="178" fontId="15" fillId="0" borderId="0" xfId="0" applyNumberFormat="1" applyFont="1"/>
    <xf numFmtId="0" fontId="36" fillId="0" borderId="0" xfId="20" applyFont="1"/>
    <xf numFmtId="17" fontId="16" fillId="0" borderId="0" xfId="20" applyNumberFormat="1" applyFont="1" applyAlignment="1">
      <alignment horizont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horizontal="center" vertical="top" wrapText="1"/>
    </xf>
    <xf numFmtId="0" fontId="14" fillId="0" borderId="7" xfId="20" applyFont="1" applyBorder="1" applyAlignment="1">
      <alignment horizontal="right"/>
    </xf>
    <xf numFmtId="14" fontId="16" fillId="0" borderId="7" xfId="20" quotePrefix="1" applyNumberFormat="1" applyFont="1" applyBorder="1" applyAlignment="1">
      <alignment horizontal="right"/>
    </xf>
    <xf numFmtId="17" fontId="16" fillId="0" borderId="7" xfId="20" applyNumberFormat="1" applyFont="1" applyBorder="1" applyAlignment="1">
      <alignment horizontal="center" wrapText="1"/>
    </xf>
    <xf numFmtId="0" fontId="15" fillId="0" borderId="7" xfId="0" applyFont="1" applyBorder="1"/>
    <xf numFmtId="0" fontId="14" fillId="0" borderId="0" xfId="20" applyFont="1" applyAlignment="1">
      <alignment horizontal="right"/>
    </xf>
    <xf numFmtId="177" fontId="15" fillId="8" borderId="0" xfId="6" applyNumberFormat="1" applyFont="1" applyFill="1"/>
    <xf numFmtId="177" fontId="15" fillId="0" borderId="0" xfId="6" applyNumberFormat="1" applyFont="1" applyFill="1"/>
    <xf numFmtId="177" fontId="15" fillId="0" borderId="0" xfId="6" applyNumberFormat="1" applyFont="1"/>
    <xf numFmtId="0" fontId="15" fillId="0" borderId="21" xfId="0" applyFont="1" applyBorder="1"/>
    <xf numFmtId="1" fontId="15" fillId="8" borderId="22" xfId="0" applyNumberFormat="1" applyFont="1" applyFill="1" applyBorder="1"/>
    <xf numFmtId="165" fontId="0" fillId="0" borderId="0" xfId="40" applyNumberFormat="1" applyFont="1" applyFill="1"/>
    <xf numFmtId="0" fontId="15" fillId="0" borderId="22" xfId="0" applyFont="1" applyBorder="1"/>
    <xf numFmtId="165" fontId="0" fillId="0" borderId="0" xfId="40" applyNumberFormat="1" applyFont="1" applyFill="1" applyBorder="1"/>
    <xf numFmtId="44" fontId="15" fillId="0" borderId="0" xfId="6" applyFont="1" applyFill="1" applyBorder="1"/>
    <xf numFmtId="0" fontId="15" fillId="0" borderId="9" xfId="0" applyFont="1" applyBorder="1"/>
    <xf numFmtId="1" fontId="15" fillId="8" borderId="9" xfId="0" applyNumberFormat="1" applyFont="1" applyFill="1" applyBorder="1"/>
    <xf numFmtId="1" fontId="17" fillId="0" borderId="0" xfId="20" applyNumberFormat="1" applyFont="1"/>
    <xf numFmtId="1" fontId="14" fillId="0" borderId="0" xfId="20" applyNumberFormat="1" applyFont="1"/>
    <xf numFmtId="1" fontId="26" fillId="0" borderId="0" xfId="0" applyNumberFormat="1" applyFont="1" applyAlignment="1">
      <alignment horizontal="center" wrapText="1"/>
    </xf>
    <xf numFmtId="1" fontId="15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0" fontId="12" fillId="0" borderId="0" xfId="24" applyNumberFormat="1" applyFont="1" applyAlignment="1">
      <alignment horizontal="center"/>
    </xf>
    <xf numFmtId="9" fontId="15" fillId="0" borderId="0" xfId="40" applyFont="1"/>
    <xf numFmtId="172" fontId="25" fillId="10" borderId="0" xfId="3" applyNumberFormat="1" applyFont="1" applyFill="1" applyBorder="1" applyAlignment="1">
      <alignment horizontal="center"/>
    </xf>
    <xf numFmtId="3" fontId="15" fillId="10" borderId="0" xfId="0" applyNumberFormat="1" applyFont="1" applyFill="1"/>
    <xf numFmtId="1" fontId="15" fillId="10" borderId="0" xfId="0" applyNumberFormat="1" applyFont="1" applyFill="1"/>
    <xf numFmtId="44" fontId="27" fillId="0" borderId="0" xfId="6" applyFont="1" applyFill="1" applyBorder="1"/>
    <xf numFmtId="165" fontId="15" fillId="0" borderId="0" xfId="24" applyNumberFormat="1" applyFont="1" applyFill="1" applyBorder="1"/>
    <xf numFmtId="44" fontId="15" fillId="11" borderId="0" xfId="6" applyFont="1" applyFill="1" applyBorder="1"/>
    <xf numFmtId="44" fontId="25" fillId="0" borderId="22" xfId="1" applyNumberFormat="1" applyFont="1" applyBorder="1" applyAlignment="1">
      <alignment horizontal="center"/>
    </xf>
    <xf numFmtId="44" fontId="25" fillId="0" borderId="30" xfId="1" applyNumberFormat="1" applyFont="1" applyBorder="1" applyAlignment="1">
      <alignment horizontal="center"/>
    </xf>
    <xf numFmtId="44" fontId="25" fillId="0" borderId="27" xfId="1" applyNumberFormat="1" applyFont="1" applyBorder="1" applyAlignment="1">
      <alignment horizontal="center"/>
    </xf>
    <xf numFmtId="44" fontId="25" fillId="0" borderId="25" xfId="1" applyNumberFormat="1" applyFont="1" applyBorder="1" applyAlignment="1">
      <alignment horizontal="center"/>
    </xf>
    <xf numFmtId="1" fontId="15" fillId="0" borderId="9" xfId="0" applyNumberFormat="1" applyFont="1" applyBorder="1"/>
    <xf numFmtId="1" fontId="15" fillId="0" borderId="4" xfId="0" applyNumberFormat="1" applyFont="1" applyBorder="1"/>
    <xf numFmtId="10" fontId="12" fillId="8" borderId="0" xfId="40" applyNumberFormat="1" applyFont="1" applyFill="1" applyAlignment="1">
      <alignment horizontal="center"/>
    </xf>
    <xf numFmtId="10" fontId="15" fillId="0" borderId="0" xfId="40" applyNumberFormat="1" applyFont="1"/>
    <xf numFmtId="6" fontId="12" fillId="0" borderId="0" xfId="0" applyNumberFormat="1" applyFont="1"/>
    <xf numFmtId="0" fontId="15" fillId="9" borderId="0" xfId="0" applyFont="1" applyFill="1"/>
    <xf numFmtId="179" fontId="12" fillId="0" borderId="0" xfId="3" applyNumberFormat="1" applyFont="1" applyFill="1"/>
    <xf numFmtId="0" fontId="0" fillId="12" borderId="0" xfId="0" applyFill="1"/>
    <xf numFmtId="172" fontId="15" fillId="0" borderId="0" xfId="39" applyNumberFormat="1" applyFont="1" applyFill="1"/>
    <xf numFmtId="177" fontId="12" fillId="0" borderId="0" xfId="0" applyNumberFormat="1" applyFont="1" applyAlignment="1">
      <alignment horizontal="right"/>
    </xf>
    <xf numFmtId="0" fontId="14" fillId="9" borderId="0" xfId="20" applyFont="1" applyFill="1" applyAlignment="1">
      <alignment horizontal="right"/>
    </xf>
    <xf numFmtId="177" fontId="15" fillId="9" borderId="0" xfId="6" applyNumberFormat="1" applyFont="1" applyFill="1"/>
    <xf numFmtId="172" fontId="40" fillId="0" borderId="0" xfId="0" applyNumberFormat="1" applyFont="1"/>
    <xf numFmtId="0" fontId="40" fillId="0" borderId="0" xfId="0" applyFont="1" applyAlignment="1">
      <alignment horizontal="center"/>
    </xf>
    <xf numFmtId="14" fontId="26" fillId="0" borderId="0" xfId="0" applyNumberFormat="1" applyFont="1" applyAlignment="1">
      <alignment horizontal="center" wrapText="1"/>
    </xf>
    <xf numFmtId="49" fontId="25" fillId="0" borderId="4" xfId="1" quotePrefix="1" applyNumberFormat="1" applyFont="1" applyBorder="1" applyAlignment="1">
      <alignment horizontal="center" wrapText="1"/>
    </xf>
    <xf numFmtId="0" fontId="26" fillId="0" borderId="0" xfId="1" applyFont="1" applyAlignment="1">
      <alignment horizontal="center"/>
    </xf>
    <xf numFmtId="172" fontId="15" fillId="0" borderId="0" xfId="0" applyNumberFormat="1" applyFont="1"/>
    <xf numFmtId="14" fontId="0" fillId="0" borderId="0" xfId="0" applyNumberFormat="1" applyAlignment="1">
      <alignment horizontal="left"/>
    </xf>
    <xf numFmtId="3" fontId="1" fillId="0" borderId="6" xfId="0" applyNumberFormat="1" applyFont="1" applyBorder="1"/>
    <xf numFmtId="173" fontId="0" fillId="0" borderId="0" xfId="35" applyNumberFormat="1" applyFont="1" applyFill="1"/>
    <xf numFmtId="5" fontId="23" fillId="0" borderId="0" xfId="0" applyNumberFormat="1" applyFont="1"/>
    <xf numFmtId="37" fontId="0" fillId="0" borderId="0" xfId="0" applyNumberFormat="1" applyAlignment="1">
      <alignment horizontal="center"/>
    </xf>
    <xf numFmtId="172" fontId="18" fillId="0" borderId="0" xfId="39" applyNumberFormat="1" applyFont="1" applyFill="1"/>
    <xf numFmtId="43" fontId="0" fillId="6" borderId="0" xfId="39" applyFont="1" applyFill="1" applyAlignment="1">
      <alignment horizontal="right"/>
    </xf>
    <xf numFmtId="0" fontId="0" fillId="6" borderId="0" xfId="0" applyFill="1" applyAlignment="1">
      <alignment horizontal="right"/>
    </xf>
    <xf numFmtId="5" fontId="19" fillId="6" borderId="0" xfId="0" applyNumberFormat="1" applyFont="1" applyFill="1" applyAlignment="1">
      <alignment horizontal="right"/>
    </xf>
    <xf numFmtId="172" fontId="25" fillId="0" borderId="0" xfId="3" applyNumberFormat="1" applyFont="1" applyAlignment="1">
      <alignment horizontal="center"/>
    </xf>
    <xf numFmtId="9" fontId="15" fillId="0" borderId="0" xfId="40" applyFont="1" applyAlignment="1">
      <alignment horizontal="center"/>
    </xf>
    <xf numFmtId="0" fontId="28" fillId="0" borderId="26" xfId="0" applyFont="1" applyBorder="1" applyAlignment="1">
      <alignment horizontal="center"/>
    </xf>
    <xf numFmtId="0" fontId="26" fillId="0" borderId="29" xfId="1" applyFont="1" applyBorder="1"/>
    <xf numFmtId="0" fontId="25" fillId="0" borderId="29" xfId="1" applyFont="1" applyBorder="1" applyAlignment="1">
      <alignment horizontal="center" wrapText="1"/>
    </xf>
    <xf numFmtId="0" fontId="25" fillId="0" borderId="0" xfId="1" applyFont="1" applyAlignment="1">
      <alignment horizontal="center" wrapText="1"/>
    </xf>
    <xf numFmtId="172" fontId="25" fillId="0" borderId="7" xfId="3" applyNumberFormat="1" applyFont="1" applyBorder="1" applyAlignment="1">
      <alignment horizontal="center"/>
    </xf>
    <xf numFmtId="172" fontId="25" fillId="0" borderId="0" xfId="3" applyNumberFormat="1" applyFont="1" applyAlignment="1">
      <alignment horizontal="center" wrapText="1"/>
    </xf>
    <xf numFmtId="10" fontId="12" fillId="8" borderId="32" xfId="40" applyNumberFormat="1" applyFont="1" applyFill="1" applyBorder="1" applyAlignment="1">
      <alignment horizontal="center"/>
    </xf>
    <xf numFmtId="0" fontId="15" fillId="13" borderId="0" xfId="0" applyFont="1" applyFill="1"/>
    <xf numFmtId="43" fontId="12" fillId="0" borderId="0" xfId="3" applyFont="1"/>
    <xf numFmtId="0" fontId="12" fillId="0" borderId="32" xfId="0" applyFont="1" applyBorder="1"/>
    <xf numFmtId="172" fontId="15" fillId="0" borderId="0" xfId="39" applyNumberFormat="1" applyFont="1"/>
    <xf numFmtId="165" fontId="0" fillId="0" borderId="0" xfId="40" applyNumberFormat="1" applyFont="1" applyAlignment="1">
      <alignment horizontal="right"/>
    </xf>
    <xf numFmtId="0" fontId="14" fillId="13" borderId="0" xfId="20" applyFont="1" applyFill="1" applyAlignment="1">
      <alignment horizontal="right"/>
    </xf>
    <xf numFmtId="177" fontId="15" fillId="13" borderId="0" xfId="6" applyNumberFormat="1" applyFont="1" applyFill="1"/>
    <xf numFmtId="165" fontId="0" fillId="0" borderId="0" xfId="40" applyNumberFormat="1" applyFont="1"/>
    <xf numFmtId="44" fontId="15" fillId="0" borderId="0" xfId="6" applyFont="1"/>
    <xf numFmtId="165" fontId="15" fillId="0" borderId="0" xfId="24" applyNumberFormat="1" applyFont="1"/>
    <xf numFmtId="44" fontId="15" fillId="11" borderId="0" xfId="6" applyFont="1" applyFill="1"/>
    <xf numFmtId="44" fontId="27" fillId="0" borderId="0" xfId="6" applyFont="1"/>
    <xf numFmtId="9" fontId="33" fillId="0" borderId="0" xfId="40" applyFont="1" applyFill="1" applyAlignment="1">
      <alignment horizontal="right"/>
    </xf>
    <xf numFmtId="174" fontId="25" fillId="0" borderId="20" xfId="1" applyNumberFormat="1" applyFont="1" applyBorder="1" applyAlignment="1">
      <alignment horizontal="center"/>
    </xf>
    <xf numFmtId="174" fontId="25" fillId="0" borderId="25" xfId="1" applyNumberFormat="1" applyFont="1" applyBorder="1" applyAlignment="1">
      <alignment horizontal="center"/>
    </xf>
    <xf numFmtId="14" fontId="25" fillId="0" borderId="21" xfId="1" quotePrefix="1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37" fontId="15" fillId="0" borderId="0" xfId="0" applyNumberFormat="1" applyFont="1"/>
    <xf numFmtId="0" fontId="41" fillId="6" borderId="0" xfId="0" applyFont="1" applyFill="1"/>
    <xf numFmtId="43" fontId="41" fillId="0" borderId="0" xfId="0" applyNumberFormat="1" applyFont="1"/>
    <xf numFmtId="17" fontId="0" fillId="0" borderId="0" xfId="0" applyNumberForma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2" fontId="43" fillId="0" borderId="9" xfId="3" applyNumberFormat="1" applyFont="1" applyFill="1" applyBorder="1" applyAlignment="1">
      <alignment horizontal="right"/>
    </xf>
    <xf numFmtId="43" fontId="0" fillId="0" borderId="0" xfId="39" applyFont="1" applyFill="1"/>
    <xf numFmtId="10" fontId="12" fillId="8" borderId="0" xfId="40" applyNumberFormat="1" applyFont="1" applyFill="1" applyAlignment="1">
      <alignment horizontal="right"/>
    </xf>
    <xf numFmtId="177" fontId="15" fillId="8" borderId="31" xfId="6" applyNumberFormat="1" applyFont="1" applyFill="1" applyBorder="1"/>
    <xf numFmtId="2" fontId="15" fillId="0" borderId="0" xfId="24" applyNumberFormat="1" applyFont="1" applyFill="1" applyBorder="1"/>
    <xf numFmtId="181" fontId="15" fillId="0" borderId="0" xfId="0" applyNumberFormat="1" applyFont="1"/>
    <xf numFmtId="37" fontId="1" fillId="7" borderId="6" xfId="0" applyNumberFormat="1" applyFont="1" applyFill="1" applyBorder="1"/>
    <xf numFmtId="177" fontId="1" fillId="0" borderId="0" xfId="0" applyNumberFormat="1" applyFont="1"/>
    <xf numFmtId="177" fontId="0" fillId="0" borderId="0" xfId="0" applyNumberFormat="1"/>
    <xf numFmtId="182" fontId="0" fillId="0" borderId="0" xfId="0" applyNumberFormat="1"/>
    <xf numFmtId="183" fontId="12" fillId="0" borderId="0" xfId="0" applyNumberFormat="1" applyFont="1"/>
    <xf numFmtId="177" fontId="15" fillId="0" borderId="0" xfId="0" applyNumberFormat="1" applyFont="1"/>
    <xf numFmtId="172" fontId="12" fillId="0" borderId="0" xfId="39" applyNumberFormat="1" applyFont="1" applyFill="1" applyAlignment="1">
      <alignment horizontal="center"/>
    </xf>
    <xf numFmtId="0" fontId="12" fillId="0" borderId="21" xfId="0" applyFont="1" applyBorder="1" applyAlignment="1">
      <alignment horizontal="center"/>
    </xf>
    <xf numFmtId="172" fontId="12" fillId="0" borderId="22" xfId="3" applyNumberFormat="1" applyFont="1" applyFill="1" applyBorder="1"/>
    <xf numFmtId="43" fontId="15" fillId="6" borderId="0" xfId="39" applyFont="1" applyFill="1"/>
    <xf numFmtId="0" fontId="15" fillId="6" borderId="0" xfId="0" applyFont="1" applyFill="1"/>
    <xf numFmtId="5" fontId="25" fillId="6" borderId="0" xfId="0" applyNumberFormat="1" applyFont="1" applyFill="1"/>
    <xf numFmtId="0" fontId="25" fillId="0" borderId="8" xfId="1" applyFont="1" applyBorder="1" applyAlignment="1">
      <alignment horizontal="center"/>
    </xf>
    <xf numFmtId="14" fontId="25" fillId="0" borderId="4" xfId="1" applyNumberFormat="1" applyFont="1" applyBorder="1" applyAlignment="1">
      <alignment horizontal="center" wrapText="1"/>
    </xf>
    <xf numFmtId="165" fontId="25" fillId="0" borderId="27" xfId="40" applyNumberFormat="1" applyFont="1" applyBorder="1" applyAlignment="1">
      <alignment horizontal="center"/>
    </xf>
    <xf numFmtId="0" fontId="44" fillId="0" borderId="0" xfId="0" applyFont="1"/>
    <xf numFmtId="0" fontId="44" fillId="0" borderId="0" xfId="20" applyFont="1"/>
    <xf numFmtId="184" fontId="12" fillId="0" borderId="0" xfId="0" applyNumberFormat="1" applyFont="1"/>
    <xf numFmtId="185" fontId="12" fillId="0" borderId="0" xfId="0" applyNumberFormat="1" applyFont="1"/>
    <xf numFmtId="172" fontId="12" fillId="0" borderId="0" xfId="39" applyNumberFormat="1" applyFont="1" applyFill="1"/>
    <xf numFmtId="38" fontId="15" fillId="0" borderId="0" xfId="0" applyNumberFormat="1" applyFont="1"/>
    <xf numFmtId="165" fontId="25" fillId="0" borderId="30" xfId="40" applyNumberFormat="1" applyFont="1" applyBorder="1" applyAlignment="1">
      <alignment horizontal="center"/>
    </xf>
    <xf numFmtId="165" fontId="25" fillId="0" borderId="25" xfId="40" applyNumberFormat="1" applyFont="1" applyBorder="1" applyAlignment="1">
      <alignment horizontal="center"/>
    </xf>
    <xf numFmtId="0" fontId="34" fillId="0" borderId="0" xfId="0" applyFont="1"/>
    <xf numFmtId="177" fontId="15" fillId="0" borderId="0" xfId="6" applyNumberFormat="1" applyFont="1" applyFill="1" applyBorder="1"/>
    <xf numFmtId="44" fontId="15" fillId="0" borderId="0" xfId="6" applyFont="1" applyFill="1"/>
    <xf numFmtId="44" fontId="27" fillId="0" borderId="0" xfId="6" applyFont="1" applyFill="1"/>
    <xf numFmtId="0" fontId="27" fillId="0" borderId="0" xfId="0" applyFont="1" applyAlignment="1">
      <alignment wrapText="1"/>
    </xf>
    <xf numFmtId="181" fontId="15" fillId="0" borderId="0" xfId="0" applyNumberFormat="1" applyFont="1" applyAlignment="1">
      <alignment horizontal="center"/>
    </xf>
    <xf numFmtId="6" fontId="0" fillId="0" borderId="0" xfId="0" applyNumberFormat="1"/>
    <xf numFmtId="0" fontId="25" fillId="0" borderId="29" xfId="1" applyFont="1" applyBorder="1" applyAlignment="1">
      <alignment horizontal="right"/>
    </xf>
    <xf numFmtId="0" fontId="25" fillId="0" borderId="30" xfId="1" applyFont="1" applyBorder="1" applyAlignment="1">
      <alignment horizontal="right"/>
    </xf>
    <xf numFmtId="17" fontId="15" fillId="0" borderId="0" xfId="6" applyNumberFormat="1" applyFont="1" applyAlignment="1">
      <alignment horizontal="center"/>
    </xf>
    <xf numFmtId="17" fontId="15" fillId="0" borderId="0" xfId="6" quotePrefix="1" applyNumberFormat="1" applyFont="1" applyAlignment="1">
      <alignment horizontal="center"/>
    </xf>
    <xf numFmtId="44" fontId="15" fillId="0" borderId="0" xfId="0" applyNumberFormat="1" applyFont="1"/>
    <xf numFmtId="165" fontId="25" fillId="0" borderId="40" xfId="22" applyNumberFormat="1" applyFont="1" applyFill="1" applyBorder="1" applyAlignment="1">
      <alignment horizontal="center"/>
    </xf>
    <xf numFmtId="0" fontId="25" fillId="0" borderId="41" xfId="1" applyFont="1" applyBorder="1" applyAlignment="1">
      <alignment horizontal="center" wrapText="1"/>
    </xf>
    <xf numFmtId="165" fontId="25" fillId="0" borderId="30" xfId="40" applyNumberFormat="1" applyFont="1" applyFill="1" applyBorder="1" applyAlignment="1">
      <alignment horizontal="center"/>
    </xf>
    <xf numFmtId="165" fontId="25" fillId="0" borderId="42" xfId="22" applyNumberFormat="1" applyFont="1" applyFill="1" applyBorder="1" applyAlignment="1">
      <alignment horizontal="center"/>
    </xf>
    <xf numFmtId="165" fontId="25" fillId="0" borderId="25" xfId="40" applyNumberFormat="1" applyFont="1" applyFill="1" applyBorder="1" applyAlignment="1">
      <alignment horizontal="center"/>
    </xf>
    <xf numFmtId="165" fontId="25" fillId="0" borderId="38" xfId="22" applyNumberFormat="1" applyFont="1" applyFill="1" applyBorder="1" applyAlignment="1">
      <alignment horizontal="center"/>
    </xf>
    <xf numFmtId="165" fontId="25" fillId="0" borderId="27" xfId="4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2" fontId="15" fillId="0" borderId="0" xfId="0" applyNumberFormat="1" applyFont="1"/>
    <xf numFmtId="186" fontId="15" fillId="0" borderId="0" xfId="0" applyNumberFormat="1" applyFont="1"/>
    <xf numFmtId="39" fontId="15" fillId="0" borderId="0" xfId="0" applyNumberFormat="1" applyFont="1"/>
    <xf numFmtId="9" fontId="12" fillId="0" borderId="0" xfId="40" applyFont="1"/>
    <xf numFmtId="10" fontId="12" fillId="0" borderId="0" xfId="40" applyNumberFormat="1" applyFont="1"/>
    <xf numFmtId="10" fontId="14" fillId="0" borderId="0" xfId="40" applyNumberFormat="1" applyFont="1"/>
    <xf numFmtId="2" fontId="15" fillId="0" borderId="0" xfId="40" applyNumberFormat="1" applyFont="1" applyBorder="1"/>
    <xf numFmtId="10" fontId="15" fillId="0" borderId="0" xfId="40" applyNumberFormat="1" applyFont="1" applyBorder="1"/>
    <xf numFmtId="43" fontId="12" fillId="0" borderId="0" xfId="0" applyNumberFormat="1" applyFont="1" applyAlignment="1">
      <alignment horizontal="right"/>
    </xf>
    <xf numFmtId="43" fontId="15" fillId="0" borderId="0" xfId="39" applyFont="1"/>
    <xf numFmtId="184" fontId="15" fillId="0" borderId="0" xfId="0" applyNumberFormat="1" applyFont="1"/>
    <xf numFmtId="0" fontId="13" fillId="0" borderId="0" xfId="0" applyFont="1"/>
    <xf numFmtId="0" fontId="25" fillId="10" borderId="4" xfId="1" applyFont="1" applyFill="1" applyBorder="1" applyAlignment="1">
      <alignment horizontal="center"/>
    </xf>
    <xf numFmtId="0" fontId="15" fillId="10" borderId="0" xfId="0" applyFont="1" applyFill="1" applyAlignment="1">
      <alignment horizontal="right"/>
    </xf>
    <xf numFmtId="0" fontId="15" fillId="10" borderId="7" xfId="0" applyFont="1" applyFill="1" applyBorder="1" applyAlignment="1">
      <alignment horizontal="right"/>
    </xf>
    <xf numFmtId="172" fontId="12" fillId="10" borderId="0" xfId="3" applyNumberFormat="1" applyFont="1" applyFill="1"/>
    <xf numFmtId="0" fontId="41" fillId="0" borderId="0" xfId="0" applyFont="1" applyAlignment="1">
      <alignment horizontal="center"/>
    </xf>
    <xf numFmtId="44" fontId="41" fillId="0" borderId="0" xfId="0" applyNumberFormat="1" applyFont="1" applyAlignment="1">
      <alignment horizontal="center"/>
    </xf>
    <xf numFmtId="0" fontId="0" fillId="0" borderId="7" xfId="0" applyBorder="1" applyAlignment="1">
      <alignment horizontal="left" wrapText="1"/>
    </xf>
    <xf numFmtId="3" fontId="41" fillId="0" borderId="0" xfId="0" applyNumberFormat="1" applyFont="1"/>
    <xf numFmtId="0" fontId="38" fillId="0" borderId="0" xfId="0" applyFont="1" applyAlignment="1">
      <alignment vertical="center"/>
    </xf>
    <xf numFmtId="172" fontId="37" fillId="0" borderId="0" xfId="0" applyNumberFormat="1" applyFont="1" applyAlignment="1">
      <alignment vertical="center"/>
    </xf>
    <xf numFmtId="187" fontId="25" fillId="0" borderId="4" xfId="1" applyNumberFormat="1" applyFont="1" applyBorder="1" applyAlignment="1">
      <alignment horizontal="center" wrapText="1"/>
    </xf>
    <xf numFmtId="164" fontId="49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6" fontId="1" fillId="0" borderId="7" xfId="0" quotePrefix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/>
    </xf>
    <xf numFmtId="0" fontId="41" fillId="0" borderId="0" xfId="0" applyFont="1"/>
    <xf numFmtId="191" fontId="0" fillId="0" borderId="0" xfId="0" applyNumberFormat="1"/>
    <xf numFmtId="0" fontId="50" fillId="0" borderId="0" xfId="0" applyFont="1"/>
    <xf numFmtId="0" fontId="20" fillId="0" borderId="0" xfId="0" applyFont="1"/>
    <xf numFmtId="5" fontId="41" fillId="0" borderId="0" xfId="0" applyNumberFormat="1" applyFont="1"/>
    <xf numFmtId="0" fontId="0" fillId="0" borderId="8" xfId="0" applyBorder="1" applyAlignment="1">
      <alignment horizontal="left" wrapText="1"/>
    </xf>
    <xf numFmtId="10" fontId="12" fillId="0" borderId="0" xfId="24" applyNumberFormat="1" applyFont="1" applyFill="1" applyAlignment="1">
      <alignment horizontal="center"/>
    </xf>
    <xf numFmtId="10" fontId="12" fillId="0" borderId="0" xfId="40" applyNumberFormat="1" applyFont="1" applyFill="1" applyAlignment="1">
      <alignment horizontal="right"/>
    </xf>
    <xf numFmtId="172" fontId="12" fillId="0" borderId="0" xfId="39" applyNumberFormat="1" applyFont="1" applyFill="1" applyBorder="1" applyAlignment="1">
      <alignment horizontal="center"/>
    </xf>
    <xf numFmtId="10" fontId="12" fillId="0" borderId="0" xfId="25" applyNumberFormat="1" applyFont="1" applyFill="1" applyAlignment="1">
      <alignment horizontal="center"/>
    </xf>
    <xf numFmtId="192" fontId="12" fillId="0" borderId="0" xfId="0" applyNumberFormat="1" applyFont="1" applyAlignment="1">
      <alignment horizontal="center"/>
    </xf>
    <xf numFmtId="192" fontId="12" fillId="0" borderId="0" xfId="0" applyNumberFormat="1" applyFont="1"/>
    <xf numFmtId="193" fontId="15" fillId="0" borderId="0" xfId="0" applyNumberFormat="1" applyFont="1"/>
    <xf numFmtId="192" fontId="15" fillId="0" borderId="0" xfId="0" applyNumberFormat="1" applyFont="1"/>
    <xf numFmtId="43" fontId="12" fillId="0" borderId="0" xfId="0" applyNumberFormat="1" applyFont="1" applyAlignment="1">
      <alignment horizontal="center" wrapText="1"/>
    </xf>
    <xf numFmtId="10" fontId="15" fillId="0" borderId="0" xfId="40" applyNumberFormat="1" applyFont="1" applyFill="1"/>
    <xf numFmtId="184" fontId="15" fillId="0" borderId="0" xfId="40" applyNumberFormat="1" applyFont="1" applyBorder="1"/>
    <xf numFmtId="10" fontId="12" fillId="0" borderId="0" xfId="24" applyNumberFormat="1" applyFont="1" applyFill="1"/>
    <xf numFmtId="0" fontId="12" fillId="0" borderId="35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0" fontId="12" fillId="8" borderId="0" xfId="24" applyNumberFormat="1" applyFont="1" applyFill="1" applyBorder="1" applyAlignment="1">
      <alignment horizontal="center"/>
    </xf>
    <xf numFmtId="10" fontId="12" fillId="8" borderId="30" xfId="24" applyNumberFormat="1" applyFont="1" applyFill="1" applyBorder="1" applyAlignment="1">
      <alignment horizontal="center"/>
    </xf>
    <xf numFmtId="10" fontId="12" fillId="8" borderId="32" xfId="24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9" fontId="0" fillId="0" borderId="0" xfId="40" applyFont="1"/>
    <xf numFmtId="9" fontId="0" fillId="0" borderId="0" xfId="35" applyNumberFormat="1" applyFont="1"/>
    <xf numFmtId="5" fontId="41" fillId="0" borderId="0" xfId="0" applyNumberFormat="1" applyFont="1" applyAlignment="1">
      <alignment horizontal="center"/>
    </xf>
    <xf numFmtId="9" fontId="51" fillId="0" borderId="0" xfId="35" applyNumberFormat="1" applyFont="1"/>
    <xf numFmtId="9" fontId="51" fillId="0" borderId="0" xfId="40" applyFont="1"/>
    <xf numFmtId="175" fontId="12" fillId="0" borderId="0" xfId="0" applyNumberFormat="1" applyFont="1"/>
    <xf numFmtId="37" fontId="41" fillId="0" borderId="0" xfId="0" applyNumberFormat="1" applyFont="1"/>
    <xf numFmtId="172" fontId="41" fillId="0" borderId="0" xfId="39" applyNumberFormat="1" applyFont="1" applyAlignment="1">
      <alignment horizontal="center"/>
    </xf>
    <xf numFmtId="37" fontId="41" fillId="0" borderId="0" xfId="0" applyNumberFormat="1" applyFont="1" applyAlignment="1">
      <alignment horizontal="center"/>
    </xf>
    <xf numFmtId="195" fontId="41" fillId="0" borderId="0" xfId="0" applyNumberFormat="1" applyFont="1"/>
    <xf numFmtId="195" fontId="0" fillId="0" borderId="0" xfId="0" applyNumberFormat="1"/>
    <xf numFmtId="0" fontId="25" fillId="0" borderId="26" xfId="1" applyFont="1" applyBorder="1" applyAlignment="1">
      <alignment horizontal="right"/>
    </xf>
    <xf numFmtId="172" fontId="0" fillId="0" borderId="0" xfId="39" applyNumberFormat="1" applyFont="1" applyFill="1" applyBorder="1"/>
    <xf numFmtId="173" fontId="0" fillId="0" borderId="0" xfId="35" applyNumberFormat="1" applyFont="1" applyFill="1" applyBorder="1"/>
    <xf numFmtId="49" fontId="16" fillId="0" borderId="7" xfId="20" quotePrefix="1" applyNumberFormat="1" applyFont="1" applyBorder="1" applyAlignment="1">
      <alignment horizontal="right"/>
    </xf>
    <xf numFmtId="0" fontId="52" fillId="0" borderId="0" xfId="0" applyFont="1"/>
    <xf numFmtId="10" fontId="12" fillId="0" borderId="0" xfId="40" applyNumberFormat="1" applyFont="1" applyFill="1" applyAlignment="1">
      <alignment horizontal="center"/>
    </xf>
    <xf numFmtId="0" fontId="15" fillId="0" borderId="36" xfId="0" applyFont="1" applyBorder="1"/>
    <xf numFmtId="172" fontId="12" fillId="0" borderId="0" xfId="39" applyNumberFormat="1" applyFont="1" applyFill="1" applyBorder="1"/>
    <xf numFmtId="173" fontId="12" fillId="0" borderId="0" xfId="35" applyNumberFormat="1" applyFont="1" applyFill="1" applyBorder="1"/>
    <xf numFmtId="176" fontId="53" fillId="0" borderId="0" xfId="42" quotePrefix="1" applyNumberFormat="1" applyFont="1" applyAlignment="1">
      <alignment horizontal="right"/>
    </xf>
    <xf numFmtId="0" fontId="55" fillId="0" borderId="0" xfId="0" applyFont="1"/>
    <xf numFmtId="0" fontId="55" fillId="0" borderId="0" xfId="0" applyFont="1" applyAlignment="1">
      <alignment wrapText="1"/>
    </xf>
    <xf numFmtId="0" fontId="55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/>
    </xf>
    <xf numFmtId="0" fontId="55" fillId="0" borderId="0" xfId="0" applyFont="1" applyAlignment="1">
      <alignment horizontal="right"/>
    </xf>
    <xf numFmtId="1" fontId="55" fillId="0" borderId="0" xfId="0" applyNumberFormat="1" applyFont="1"/>
    <xf numFmtId="165" fontId="56" fillId="0" borderId="0" xfId="40" applyNumberFormat="1" applyFont="1" applyFill="1" applyBorder="1" applyAlignment="1">
      <alignment horizontal="right"/>
    </xf>
    <xf numFmtId="0" fontId="15" fillId="0" borderId="32" xfId="0" applyFont="1" applyBorder="1"/>
    <xf numFmtId="1" fontId="15" fillId="10" borderId="21" xfId="6" applyNumberFormat="1" applyFont="1" applyFill="1" applyBorder="1"/>
    <xf numFmtId="165" fontId="0" fillId="0" borderId="22" xfId="40" applyNumberFormat="1" applyFont="1" applyFill="1" applyBorder="1"/>
    <xf numFmtId="1" fontId="0" fillId="0" borderId="22" xfId="40" applyNumberFormat="1" applyFont="1" applyFill="1" applyBorder="1"/>
    <xf numFmtId="1" fontId="15" fillId="10" borderId="22" xfId="6" applyNumberFormat="1" applyFont="1" applyFill="1" applyBorder="1"/>
    <xf numFmtId="0" fontId="15" fillId="0" borderId="33" xfId="0" applyFont="1" applyBorder="1"/>
    <xf numFmtId="1" fontId="15" fillId="10" borderId="9" xfId="6" applyNumberFormat="1" applyFont="1" applyFill="1" applyBorder="1"/>
    <xf numFmtId="165" fontId="0" fillId="0" borderId="9" xfId="40" applyNumberFormat="1" applyFont="1" applyFill="1" applyBorder="1"/>
    <xf numFmtId="1" fontId="0" fillId="0" borderId="9" xfId="40" applyNumberFormat="1" applyFont="1" applyFill="1" applyBorder="1"/>
    <xf numFmtId="0" fontId="14" fillId="0" borderId="0" xfId="20" quotePrefix="1" applyFont="1" applyAlignment="1">
      <alignment horizontal="right"/>
    </xf>
    <xf numFmtId="180" fontId="2" fillId="0" borderId="0" xfId="62" applyFont="1"/>
    <xf numFmtId="180" fontId="6" fillId="0" borderId="0" xfId="62" applyAlignment="1">
      <alignment horizontal="left"/>
    </xf>
    <xf numFmtId="180" fontId="57" fillId="0" borderId="0" xfId="62" applyFont="1" applyAlignment="1">
      <alignment horizontal="center"/>
    </xf>
    <xf numFmtId="14" fontId="26" fillId="0" borderId="7" xfId="0" applyNumberFormat="1" applyFont="1" applyBorder="1" applyAlignment="1">
      <alignment horizontal="center" wrapText="1"/>
    </xf>
    <xf numFmtId="37" fontId="6" fillId="0" borderId="0" xfId="62" applyNumberFormat="1"/>
    <xf numFmtId="165" fontId="6" fillId="0" borderId="0" xfId="24" applyNumberFormat="1" applyFont="1" applyFill="1" applyBorder="1"/>
    <xf numFmtId="165" fontId="6" fillId="0" borderId="0" xfId="24" applyNumberFormat="1" applyFont="1" applyFill="1" applyBorder="1" applyAlignment="1">
      <alignment horizontal="right"/>
    </xf>
    <xf numFmtId="40" fontId="15" fillId="0" borderId="0" xfId="0" applyNumberFormat="1" applyFont="1"/>
    <xf numFmtId="180" fontId="6" fillId="0" borderId="0" xfId="62"/>
    <xf numFmtId="9" fontId="6" fillId="0" borderId="0" xfId="24" applyFont="1" applyFill="1" applyBorder="1" applyProtection="1"/>
    <xf numFmtId="14" fontId="16" fillId="0" borderId="0" xfId="0" applyNumberFormat="1" applyFont="1" applyAlignment="1">
      <alignment horizontal="center" wrapText="1"/>
    </xf>
    <xf numFmtId="9" fontId="33" fillId="0" borderId="0" xfId="40" applyFont="1" applyFill="1" applyBorder="1" applyAlignment="1">
      <alignment horizontal="right"/>
    </xf>
    <xf numFmtId="10" fontId="12" fillId="0" borderId="0" xfId="40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top" wrapText="1"/>
    </xf>
    <xf numFmtId="0" fontId="15" fillId="0" borderId="30" xfId="0" applyFont="1" applyBorder="1"/>
    <xf numFmtId="0" fontId="15" fillId="0" borderId="1" xfId="0" applyFont="1" applyBorder="1"/>
    <xf numFmtId="165" fontId="0" fillId="0" borderId="0" xfId="40" applyNumberFormat="1" applyFont="1" applyFill="1" applyBorder="1" applyAlignment="1">
      <alignment horizontal="right"/>
    </xf>
    <xf numFmtId="14" fontId="16" fillId="0" borderId="0" xfId="20" quotePrefix="1" applyNumberFormat="1" applyFont="1" applyAlignment="1">
      <alignment horizontal="right"/>
    </xf>
    <xf numFmtId="0" fontId="58" fillId="0" borderId="0" xfId="20" applyFont="1" applyAlignment="1">
      <alignment horizontal="right"/>
    </xf>
    <xf numFmtId="44" fontId="40" fillId="0" borderId="0" xfId="6" applyFont="1"/>
    <xf numFmtId="0" fontId="25" fillId="0" borderId="29" xfId="1" applyFont="1" applyBorder="1"/>
    <xf numFmtId="0" fontId="25" fillId="0" borderId="24" xfId="1" applyFont="1" applyBorder="1"/>
    <xf numFmtId="0" fontId="59" fillId="0" borderId="0" xfId="0" applyFont="1" applyAlignment="1">
      <alignment horizontal="right"/>
    </xf>
    <xf numFmtId="44" fontId="40" fillId="0" borderId="0" xfId="0" applyNumberFormat="1" applyFont="1"/>
    <xf numFmtId="174" fontId="25" fillId="0" borderId="22" xfId="1" applyNumberFormat="1" applyFont="1" applyBorder="1" applyAlignment="1">
      <alignment horizontal="center"/>
    </xf>
    <xf numFmtId="174" fontId="25" fillId="0" borderId="30" xfId="1" applyNumberFormat="1" applyFont="1" applyBorder="1" applyAlignment="1">
      <alignment horizontal="center"/>
    </xf>
    <xf numFmtId="0" fontId="25" fillId="0" borderId="19" xfId="1" applyFont="1" applyBorder="1"/>
    <xf numFmtId="165" fontId="25" fillId="0" borderId="42" xfId="22" applyNumberFormat="1" applyFont="1" applyBorder="1" applyAlignment="1">
      <alignment horizontal="center"/>
    </xf>
    <xf numFmtId="165" fontId="25" fillId="0" borderId="40" xfId="22" applyNumberFormat="1" applyFont="1" applyBorder="1" applyAlignment="1">
      <alignment horizontal="center"/>
    </xf>
    <xf numFmtId="165" fontId="25" fillId="0" borderId="38" xfId="22" applyNumberFormat="1" applyFont="1" applyBorder="1" applyAlignment="1">
      <alignment horizontal="center"/>
    </xf>
    <xf numFmtId="41" fontId="60" fillId="0" borderId="0" xfId="39" applyNumberFormat="1" applyFont="1" applyFill="1" applyBorder="1"/>
    <xf numFmtId="0" fontId="1" fillId="0" borderId="36" xfId="0" applyFont="1" applyBorder="1"/>
    <xf numFmtId="0" fontId="0" fillId="0" borderId="8" xfId="0" applyBorder="1" applyAlignment="1">
      <alignment wrapText="1"/>
    </xf>
    <xf numFmtId="43" fontId="15" fillId="6" borderId="0" xfId="39" applyFont="1" applyFill="1" applyAlignment="1"/>
    <xf numFmtId="0" fontId="15" fillId="6" borderId="0" xfId="0" applyFont="1" applyFill="1" applyAlignment="1">
      <alignment vertical="center"/>
    </xf>
    <xf numFmtId="0" fontId="29" fillId="0" borderId="1" xfId="0" applyFont="1" applyBorder="1" applyAlignment="1">
      <alignment horizontal="left"/>
    </xf>
    <xf numFmtId="178" fontId="0" fillId="0" borderId="0" xfId="0" applyNumberFormat="1" applyAlignment="1">
      <alignment horizontal="center"/>
    </xf>
    <xf numFmtId="44" fontId="51" fillId="0" borderId="0" xfId="35" applyFont="1"/>
    <xf numFmtId="44" fontId="15" fillId="0" borderId="4" xfId="0" applyNumberFormat="1" applyFont="1" applyBorder="1"/>
    <xf numFmtId="10" fontId="12" fillId="8" borderId="35" xfId="24" applyNumberFormat="1" applyFont="1" applyFill="1" applyBorder="1" applyAlignment="1">
      <alignment horizontal="center"/>
    </xf>
    <xf numFmtId="10" fontId="12" fillId="8" borderId="31" xfId="24" applyNumberFormat="1" applyFont="1" applyFill="1" applyBorder="1" applyAlignment="1">
      <alignment horizontal="center"/>
    </xf>
    <xf numFmtId="10" fontId="12" fillId="8" borderId="20" xfId="24" applyNumberFormat="1" applyFont="1" applyFill="1" applyBorder="1" applyAlignment="1">
      <alignment horizontal="center"/>
    </xf>
    <xf numFmtId="10" fontId="12" fillId="8" borderId="33" xfId="24" applyNumberFormat="1" applyFont="1" applyFill="1" applyBorder="1" applyAlignment="1">
      <alignment horizontal="center"/>
    </xf>
    <xf numFmtId="10" fontId="12" fillId="8" borderId="7" xfId="24" applyNumberFormat="1" applyFont="1" applyFill="1" applyBorder="1" applyAlignment="1">
      <alignment horizontal="center"/>
    </xf>
    <xf numFmtId="10" fontId="12" fillId="8" borderId="34" xfId="24" applyNumberFormat="1" applyFont="1" applyFill="1" applyBorder="1" applyAlignment="1">
      <alignment horizontal="center"/>
    </xf>
    <xf numFmtId="9" fontId="0" fillId="0" borderId="0" xfId="40" applyFont="1" applyAlignment="1">
      <alignment horizontal="center"/>
    </xf>
    <xf numFmtId="165" fontId="0" fillId="0" borderId="0" xfId="40" applyNumberFormat="1" applyFont="1" applyAlignment="1">
      <alignment horizontal="center"/>
    </xf>
    <xf numFmtId="16" fontId="0" fillId="0" borderId="0" xfId="0" applyNumberFormat="1"/>
    <xf numFmtId="180" fontId="39" fillId="0" borderId="29" xfId="43" applyFont="1" applyBorder="1" applyAlignment="1">
      <alignment vertical="top" wrapText="1"/>
    </xf>
    <xf numFmtId="180" fontId="39" fillId="0" borderId="0" xfId="43" applyFont="1" applyAlignment="1">
      <alignment vertical="top" wrapText="1"/>
    </xf>
    <xf numFmtId="37" fontId="60" fillId="0" borderId="0" xfId="0" applyNumberFormat="1" applyFont="1" applyAlignment="1">
      <alignment horizontal="center"/>
    </xf>
    <xf numFmtId="0" fontId="60" fillId="0" borderId="0" xfId="0" applyFont="1" applyAlignment="1">
      <alignment horizontal="center"/>
    </xf>
    <xf numFmtId="172" fontId="18" fillId="0" borderId="7" xfId="39" applyNumberFormat="1" applyFont="1" applyFill="1" applyBorder="1"/>
    <xf numFmtId="172" fontId="0" fillId="0" borderId="7" xfId="39" applyNumberFormat="1" applyFont="1" applyFill="1" applyBorder="1"/>
    <xf numFmtId="37" fontId="60" fillId="0" borderId="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/>
    </xf>
    <xf numFmtId="172" fontId="41" fillId="0" borderId="0" xfId="0" applyNumberFormat="1" applyFont="1"/>
    <xf numFmtId="198" fontId="0" fillId="0" borderId="0" xfId="0" applyNumberFormat="1"/>
    <xf numFmtId="49" fontId="26" fillId="0" borderId="0" xfId="0" applyNumberFormat="1" applyFont="1" applyAlignment="1">
      <alignment horizontal="center" wrapText="1"/>
    </xf>
    <xf numFmtId="190" fontId="0" fillId="0" borderId="0" xfId="0" applyNumberFormat="1"/>
    <xf numFmtId="9" fontId="0" fillId="0" borderId="0" xfId="40" applyFont="1" applyFill="1" applyBorder="1"/>
    <xf numFmtId="37" fontId="0" fillId="0" borderId="0" xfId="0" applyNumberFormat="1" applyAlignment="1">
      <alignment wrapText="1"/>
    </xf>
    <xf numFmtId="37" fontId="0" fillId="0" borderId="0" xfId="0" applyNumberFormat="1" applyAlignment="1">
      <alignment horizontal="right"/>
    </xf>
    <xf numFmtId="9" fontId="0" fillId="0" borderId="0" xfId="40" applyFont="1" applyFill="1" applyBorder="1" applyAlignment="1">
      <alignment horizontal="right"/>
    </xf>
    <xf numFmtId="0" fontId="64" fillId="0" borderId="0" xfId="0" applyFont="1" applyAlignment="1">
      <alignment horizontal="left" vertical="center" wrapText="1"/>
    </xf>
    <xf numFmtId="0" fontId="65" fillId="10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indent="1"/>
    </xf>
    <xf numFmtId="14" fontId="12" fillId="0" borderId="4" xfId="0" applyNumberFormat="1" applyFont="1" applyBorder="1" applyAlignment="1">
      <alignment horizontal="center" wrapText="1"/>
    </xf>
    <xf numFmtId="14" fontId="15" fillId="0" borderId="4" xfId="0" applyNumberFormat="1" applyFont="1" applyBorder="1" applyAlignment="1">
      <alignment horizontal="center"/>
    </xf>
    <xf numFmtId="184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184" fontId="15" fillId="0" borderId="4" xfId="0" applyNumberFormat="1" applyFont="1" applyBorder="1" applyAlignment="1">
      <alignment horizontal="center"/>
    </xf>
    <xf numFmtId="0" fontId="27" fillId="0" borderId="4" xfId="0" applyFont="1" applyBorder="1"/>
    <xf numFmtId="0" fontId="27" fillId="0" borderId="4" xfId="0" applyFont="1" applyBorder="1" applyAlignment="1">
      <alignment horizontal="center"/>
    </xf>
    <xf numFmtId="0" fontId="27" fillId="0" borderId="7" xfId="0" applyFont="1" applyBorder="1" applyAlignment="1">
      <alignment horizontal="center" wrapText="1"/>
    </xf>
    <xf numFmtId="0" fontId="26" fillId="10" borderId="0" xfId="1" applyFont="1" applyFill="1"/>
    <xf numFmtId="0" fontId="15" fillId="10" borderId="0" xfId="0" applyFont="1" applyFill="1" applyAlignment="1">
      <alignment horizontal="center"/>
    </xf>
    <xf numFmtId="0" fontId="15" fillId="10" borderId="0" xfId="0" applyFont="1" applyFill="1" applyAlignment="1">
      <alignment horizontal="center" vertical="top"/>
    </xf>
    <xf numFmtId="0" fontId="35" fillId="0" borderId="0" xfId="0" applyFont="1"/>
    <xf numFmtId="10" fontId="12" fillId="0" borderId="0" xfId="3" applyNumberFormat="1" applyFont="1"/>
    <xf numFmtId="0" fontId="19" fillId="0" borderId="0" xfId="0" applyFont="1"/>
    <xf numFmtId="5" fontId="2" fillId="0" borderId="0" xfId="38" applyNumberFormat="1" applyFont="1" applyAlignment="1">
      <alignment horizontal="left" vertical="center"/>
    </xf>
    <xf numFmtId="3" fontId="66" fillId="0" borderId="0" xfId="0" applyNumberFormat="1" applyFont="1"/>
    <xf numFmtId="3" fontId="67" fillId="0" borderId="0" xfId="0" applyNumberFormat="1" applyFont="1" applyAlignment="1">
      <alignment horizontal="right"/>
    </xf>
    <xf numFmtId="3" fontId="67" fillId="0" borderId="0" xfId="0" applyNumberFormat="1" applyFont="1"/>
    <xf numFmtId="0" fontId="68" fillId="0" borderId="0" xfId="0" applyFont="1"/>
    <xf numFmtId="0" fontId="19" fillId="0" borderId="0" xfId="0" applyFont="1" applyAlignment="1">
      <alignment horizontal="right" vertical="center"/>
    </xf>
    <xf numFmtId="0" fontId="2" fillId="0" borderId="0" xfId="38" applyFont="1" applyAlignment="1">
      <alignment horizontal="left"/>
    </xf>
    <xf numFmtId="199" fontId="0" fillId="0" borderId="0" xfId="0" applyNumberFormat="1"/>
    <xf numFmtId="0" fontId="32" fillId="0" borderId="0" xfId="0" applyFont="1" applyAlignment="1">
      <alignment horizontal="left"/>
    </xf>
    <xf numFmtId="1" fontId="12" fillId="0" borderId="0" xfId="39" applyNumberFormat="1" applyFont="1" applyAlignment="1">
      <alignment horizontal="center"/>
    </xf>
    <xf numFmtId="37" fontId="33" fillId="0" borderId="0" xfId="0" applyNumberFormat="1" applyFont="1" applyAlignment="1">
      <alignment horizontal="center"/>
    </xf>
    <xf numFmtId="9" fontId="33" fillId="10" borderId="0" xfId="40" applyFont="1" applyFill="1" applyAlignment="1">
      <alignment horizontal="center"/>
    </xf>
    <xf numFmtId="0" fontId="33" fillId="0" borderId="0" xfId="0" applyFont="1" applyAlignment="1">
      <alignment horizontal="center"/>
    </xf>
    <xf numFmtId="0" fontId="33" fillId="10" borderId="0" xfId="0" applyFont="1" applyFill="1" applyAlignment="1">
      <alignment horizontal="center"/>
    </xf>
    <xf numFmtId="0" fontId="33" fillId="10" borderId="0" xfId="0" applyFont="1" applyFill="1" applyAlignment="1">
      <alignment horizontal="left"/>
    </xf>
    <xf numFmtId="10" fontId="40" fillId="0" borderId="0" xfId="40" applyNumberFormat="1" applyFont="1"/>
    <xf numFmtId="193" fontId="15" fillId="10" borderId="0" xfId="0" applyNumberFormat="1" applyFont="1" applyFill="1"/>
    <xf numFmtId="193" fontId="40" fillId="0" borderId="0" xfId="0" applyNumberFormat="1" applyFont="1"/>
    <xf numFmtId="193" fontId="40" fillId="0" borderId="0" xfId="0" applyNumberFormat="1" applyFont="1" applyAlignment="1">
      <alignment horizontal="center"/>
    </xf>
    <xf numFmtId="165" fontId="15" fillId="0" borderId="0" xfId="40" applyNumberFormat="1" applyFont="1"/>
    <xf numFmtId="179" fontId="15" fillId="0" borderId="0" xfId="39" applyNumberFormat="1" applyFont="1"/>
    <xf numFmtId="200" fontId="15" fillId="0" borderId="0" xfId="39" applyNumberFormat="1" applyFont="1"/>
    <xf numFmtId="200" fontId="15" fillId="0" borderId="0" xfId="0" applyNumberFormat="1" applyFont="1"/>
    <xf numFmtId="179" fontId="40" fillId="0" borderId="0" xfId="0" applyNumberFormat="1" applyFont="1"/>
    <xf numFmtId="14" fontId="25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184" fontId="25" fillId="0" borderId="4" xfId="0" applyNumberFormat="1" applyFont="1" applyBorder="1" applyAlignment="1">
      <alignment horizontal="center" wrapText="1"/>
    </xf>
    <xf numFmtId="201" fontId="12" fillId="0" borderId="0" xfId="3" applyNumberFormat="1" applyFont="1" applyFill="1"/>
    <xf numFmtId="201" fontId="12" fillId="8" borderId="0" xfId="0" applyNumberFormat="1" applyFont="1" applyFill="1" applyAlignment="1">
      <alignment horizontal="center"/>
    </xf>
    <xf numFmtId="9" fontId="40" fillId="0" borderId="0" xfId="40" applyFont="1"/>
    <xf numFmtId="165" fontId="40" fillId="0" borderId="29" xfId="22" applyNumberFormat="1" applyFont="1" applyBorder="1" applyAlignment="1">
      <alignment horizontal="center"/>
    </xf>
    <xf numFmtId="0" fontId="40" fillId="0" borderId="0" xfId="0" applyFont="1"/>
    <xf numFmtId="0" fontId="40" fillId="0" borderId="0" xfId="1" applyFont="1" applyAlignment="1">
      <alignment wrapText="1"/>
    </xf>
    <xf numFmtId="165" fontId="60" fillId="0" borderId="0" xfId="40" applyNumberFormat="1" applyFont="1" applyFill="1" applyBorder="1"/>
    <xf numFmtId="3" fontId="40" fillId="0" borderId="0" xfId="0" applyNumberFormat="1" applyFont="1"/>
    <xf numFmtId="3" fontId="40" fillId="0" borderId="0" xfId="0" applyNumberFormat="1" applyFont="1" applyAlignment="1">
      <alignment horizontal="right"/>
    </xf>
    <xf numFmtId="174" fontId="25" fillId="0" borderId="0" xfId="1" applyNumberFormat="1" applyFont="1" applyAlignment="1">
      <alignment horizontal="center"/>
    </xf>
    <xf numFmtId="174" fontId="25" fillId="0" borderId="26" xfId="1" applyNumberFormat="1" applyFont="1" applyBorder="1" applyAlignment="1">
      <alignment horizontal="center"/>
    </xf>
    <xf numFmtId="37" fontId="19" fillId="0" borderId="0" xfId="0" applyNumberFormat="1" applyFont="1"/>
    <xf numFmtId="14" fontId="1" fillId="0" borderId="1" xfId="0" applyNumberFormat="1" applyFont="1" applyBorder="1"/>
    <xf numFmtId="37" fontId="0" fillId="0" borderId="1" xfId="0" applyNumberFormat="1" applyBorder="1"/>
    <xf numFmtId="0" fontId="1" fillId="0" borderId="8" xfId="0" applyFont="1" applyBorder="1"/>
    <xf numFmtId="172" fontId="0" fillId="0" borderId="7" xfId="0" applyNumberFormat="1" applyBorder="1"/>
    <xf numFmtId="37" fontId="0" fillId="0" borderId="7" xfId="0" applyNumberFormat="1" applyBorder="1"/>
    <xf numFmtId="178" fontId="69" fillId="0" borderId="0" xfId="0" applyNumberFormat="1" applyFont="1"/>
    <xf numFmtId="190" fontId="69" fillId="0" borderId="0" xfId="35" applyNumberFormat="1" applyFont="1"/>
    <xf numFmtId="0" fontId="0" fillId="0" borderId="1" xfId="0" quotePrefix="1" applyBorder="1" applyAlignment="1">
      <alignment wrapText="1"/>
    </xf>
    <xf numFmtId="165" fontId="1" fillId="0" borderId="0" xfId="40" applyNumberFormat="1" applyFont="1" applyFill="1" applyAlignment="1">
      <alignment horizontal="center"/>
    </xf>
    <xf numFmtId="38" fontId="0" fillId="0" borderId="0" xfId="0" applyNumberFormat="1"/>
    <xf numFmtId="14" fontId="25" fillId="6" borderId="4" xfId="1" quotePrefix="1" applyNumberFormat="1" applyFont="1" applyFill="1" applyBorder="1" applyAlignment="1">
      <alignment horizontal="center" wrapText="1"/>
    </xf>
    <xf numFmtId="176" fontId="25" fillId="0" borderId="0" xfId="42" quotePrefix="1" applyNumberFormat="1" applyFont="1" applyAlignment="1">
      <alignment horizontal="left"/>
    </xf>
    <xf numFmtId="172" fontId="70" fillId="0" borderId="0" xfId="39" applyNumberFormat="1" applyFont="1" applyFill="1" applyBorder="1"/>
    <xf numFmtId="41" fontId="0" fillId="0" borderId="0" xfId="39" applyNumberFormat="1" applyFont="1" applyFill="1" applyBorder="1"/>
    <xf numFmtId="172" fontId="0" fillId="0" borderId="7" xfId="39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15" borderId="10" xfId="0" applyFont="1" applyFill="1" applyBorder="1" applyAlignment="1">
      <alignment horizontal="center"/>
    </xf>
    <xf numFmtId="0" fontId="27" fillId="15" borderId="11" xfId="0" applyFont="1" applyFill="1" applyBorder="1" applyAlignment="1">
      <alignment horizontal="center"/>
    </xf>
    <xf numFmtId="0" fontId="27" fillId="15" borderId="12" xfId="0" applyFont="1" applyFill="1" applyBorder="1" applyAlignment="1">
      <alignment horizontal="center"/>
    </xf>
    <xf numFmtId="0" fontId="26" fillId="0" borderId="10" xfId="1" applyFont="1" applyBorder="1" applyAlignment="1">
      <alignment horizontal="center"/>
    </xf>
    <xf numFmtId="0" fontId="26" fillId="0" borderId="11" xfId="1" applyFont="1" applyBorder="1" applyAlignment="1">
      <alignment horizontal="center"/>
    </xf>
    <xf numFmtId="0" fontId="26" fillId="0" borderId="12" xfId="1" applyFont="1" applyBorder="1" applyAlignment="1">
      <alignment horizontal="center"/>
    </xf>
    <xf numFmtId="17" fontId="0" fillId="0" borderId="0" xfId="0" applyNumberFormat="1"/>
    <xf numFmtId="0" fontId="71" fillId="0" borderId="0" xfId="0" applyFont="1"/>
    <xf numFmtId="0" fontId="15" fillId="0" borderId="8" xfId="0" applyFont="1" applyBorder="1"/>
    <xf numFmtId="0" fontId="15" fillId="0" borderId="36" xfId="0" applyFont="1" applyBorder="1" applyAlignment="1">
      <alignment horizontal="left" indent="20"/>
    </xf>
    <xf numFmtId="0" fontId="15" fillId="0" borderId="36" xfId="0" applyFont="1" applyBorder="1" applyAlignment="1">
      <alignment horizontal="left" indent="28"/>
    </xf>
    <xf numFmtId="0" fontId="15" fillId="0" borderId="1" xfId="0" applyFont="1" applyBorder="1" applyAlignment="1">
      <alignment horizontal="left" indent="28"/>
    </xf>
    <xf numFmtId="0" fontId="15" fillId="0" borderId="8" xfId="0" applyFont="1" applyBorder="1" applyAlignment="1">
      <alignment horizontal="left" indent="28"/>
    </xf>
    <xf numFmtId="0" fontId="15" fillId="0" borderId="0" xfId="0" applyFont="1" applyAlignment="1">
      <alignment horizontal="left" indent="23"/>
    </xf>
    <xf numFmtId="0" fontId="15" fillId="0" borderId="36" xfId="0" applyFont="1" applyBorder="1" applyAlignment="1">
      <alignment horizontal="left" indent="13"/>
    </xf>
    <xf numFmtId="0" fontId="15" fillId="0" borderId="1" xfId="0" applyFont="1" applyBorder="1" applyAlignment="1">
      <alignment horizontal="left" indent="13"/>
    </xf>
    <xf numFmtId="0" fontId="15" fillId="0" borderId="8" xfId="0" applyFont="1" applyBorder="1" applyAlignment="1">
      <alignment horizontal="left" indent="13"/>
    </xf>
    <xf numFmtId="10" fontId="60" fillId="0" borderId="0" xfId="40" applyNumberFormat="1" applyFont="1" applyFill="1" applyBorder="1"/>
    <xf numFmtId="0" fontId="25" fillId="0" borderId="24" xfId="1" applyFont="1" applyBorder="1" applyAlignment="1">
      <alignment horizontal="right"/>
    </xf>
    <xf numFmtId="0" fontId="25" fillId="0" borderId="26" xfId="1" applyFont="1" applyBorder="1" applyAlignment="1">
      <alignment horizontal="right"/>
    </xf>
    <xf numFmtId="0" fontId="25" fillId="0" borderId="29" xfId="1" applyFont="1" applyBorder="1" applyAlignment="1">
      <alignment horizontal="right"/>
    </xf>
    <xf numFmtId="0" fontId="25" fillId="0" borderId="0" xfId="1" applyFont="1" applyAlignment="1">
      <alignment horizontal="right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5" fillId="0" borderId="19" xfId="1" applyFont="1" applyBorder="1" applyAlignment="1">
      <alignment horizontal="right"/>
    </xf>
    <xf numFmtId="0" fontId="25" fillId="0" borderId="20" xfId="1" applyFont="1" applyBorder="1" applyAlignment="1">
      <alignment horizontal="right"/>
    </xf>
    <xf numFmtId="0" fontId="25" fillId="0" borderId="25" xfId="1" applyFont="1" applyBorder="1" applyAlignment="1">
      <alignment horizontal="right"/>
    </xf>
    <xf numFmtId="0" fontId="25" fillId="0" borderId="30" xfId="1" applyFont="1" applyBorder="1" applyAlignment="1">
      <alignment horizontal="right"/>
    </xf>
    <xf numFmtId="0" fontId="26" fillId="0" borderId="13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0" borderId="15" xfId="1" applyFont="1" applyBorder="1" applyAlignment="1">
      <alignment horizontal="center"/>
    </xf>
    <xf numFmtId="0" fontId="25" fillId="0" borderId="16" xfId="1" applyFont="1" applyBorder="1" applyAlignment="1">
      <alignment horizontal="right"/>
    </xf>
    <xf numFmtId="0" fontId="25" fillId="0" borderId="4" xfId="1" applyFont="1" applyBorder="1" applyAlignment="1">
      <alignment horizontal="right"/>
    </xf>
    <xf numFmtId="0" fontId="25" fillId="0" borderId="18" xfId="1" applyFont="1" applyBorder="1" applyAlignment="1">
      <alignment horizontal="center"/>
    </xf>
    <xf numFmtId="0" fontId="25" fillId="0" borderId="8" xfId="1" applyFont="1" applyBorder="1" applyAlignment="1">
      <alignment horizontal="center"/>
    </xf>
    <xf numFmtId="0" fontId="25" fillId="0" borderId="31" xfId="1" applyFont="1" applyBorder="1" applyAlignment="1">
      <alignment horizontal="right"/>
    </xf>
    <xf numFmtId="0" fontId="15" fillId="14" borderId="0" xfId="0" applyFont="1" applyFill="1" applyAlignment="1">
      <alignment horizontal="center" wrapText="1"/>
    </xf>
    <xf numFmtId="0" fontId="27" fillId="0" borderId="36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29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1" fillId="0" borderId="35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6" fillId="0" borderId="0" xfId="1" applyFont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32" fillId="0" borderId="32" xfId="0" applyFont="1" applyBorder="1" applyAlignment="1">
      <alignment horizontal="center" wrapText="1"/>
    </xf>
    <xf numFmtId="0" fontId="32" fillId="0" borderId="33" xfId="0" applyFont="1" applyBorder="1" applyAlignment="1">
      <alignment horizontal="center" wrapText="1"/>
    </xf>
    <xf numFmtId="0" fontId="15" fillId="0" borderId="3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7" fontId="15" fillId="0" borderId="0" xfId="6" quotePrefix="1" applyNumberFormat="1" applyFont="1" applyBorder="1" applyAlignment="1">
      <alignment horizontal="center"/>
    </xf>
    <xf numFmtId="17" fontId="15" fillId="0" borderId="0" xfId="6" applyNumberFormat="1" applyFont="1" applyBorder="1" applyAlignment="1">
      <alignment horizontal="center"/>
    </xf>
    <xf numFmtId="0" fontId="26" fillId="0" borderId="0" xfId="1" applyFont="1" applyAlignment="1">
      <alignment horizontal="right"/>
    </xf>
    <xf numFmtId="0" fontId="34" fillId="0" borderId="7" xfId="0" applyFont="1" applyBorder="1" applyAlignment="1">
      <alignment horizontal="center"/>
    </xf>
    <xf numFmtId="0" fontId="44" fillId="0" borderId="0" xfId="20" applyFont="1" applyAlignment="1">
      <alignment horizontal="center"/>
    </xf>
    <xf numFmtId="17" fontId="15" fillId="0" borderId="0" xfId="6" applyNumberFormat="1" applyFont="1" applyFill="1" applyBorder="1" applyAlignment="1">
      <alignment horizontal="center"/>
    </xf>
    <xf numFmtId="17" fontId="15" fillId="0" borderId="0" xfId="6" quotePrefix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15" fillId="0" borderId="3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7" fontId="15" fillId="0" borderId="0" xfId="6" quotePrefix="1" applyNumberFormat="1" applyFont="1" applyAlignment="1">
      <alignment horizontal="center"/>
    </xf>
    <xf numFmtId="17" fontId="15" fillId="0" borderId="0" xfId="6" applyNumberFormat="1" applyFont="1" applyAlignment="1">
      <alignment horizontal="center"/>
    </xf>
    <xf numFmtId="0" fontId="15" fillId="0" borderId="29" xfId="0" applyFont="1" applyBorder="1" applyAlignment="1">
      <alignment horizontal="center"/>
    </xf>
    <xf numFmtId="17" fontId="15" fillId="0" borderId="0" xfId="6" quotePrefix="1" applyNumberFormat="1" applyFont="1" applyFill="1" applyAlignment="1">
      <alignment horizontal="center"/>
    </xf>
    <xf numFmtId="17" fontId="15" fillId="0" borderId="0" xfId="6" applyNumberFormat="1" applyFont="1" applyFill="1" applyAlignment="1">
      <alignment horizontal="center"/>
    </xf>
    <xf numFmtId="0" fontId="4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49" fontId="25" fillId="0" borderId="4" xfId="1" quotePrefix="1" applyNumberFormat="1" applyFont="1" applyFill="1" applyBorder="1" applyAlignment="1">
      <alignment horizontal="center"/>
    </xf>
    <xf numFmtId="1" fontId="25" fillId="0" borderId="4" xfId="1" applyNumberFormat="1" applyFont="1" applyFill="1" applyBorder="1" applyAlignment="1">
      <alignment horizontal="center"/>
    </xf>
    <xf numFmtId="174" fontId="25" fillId="0" borderId="21" xfId="1" applyNumberFormat="1" applyFont="1" applyFill="1" applyBorder="1" applyAlignment="1">
      <alignment horizontal="center"/>
    </xf>
    <xf numFmtId="174" fontId="25" fillId="0" borderId="22" xfId="1" applyNumberFormat="1" applyFont="1" applyFill="1" applyBorder="1" applyAlignment="1">
      <alignment horizontal="center"/>
    </xf>
    <xf numFmtId="0" fontId="25" fillId="0" borderId="4" xfId="1" applyFont="1" applyFill="1" applyBorder="1" applyAlignment="1">
      <alignment horizontal="center" wrapText="1"/>
    </xf>
    <xf numFmtId="44" fontId="25" fillId="0" borderId="22" xfId="1" applyNumberFormat="1" applyFont="1" applyFill="1" applyBorder="1" applyAlignment="1">
      <alignment horizontal="center"/>
    </xf>
    <xf numFmtId="44" fontId="25" fillId="0" borderId="27" xfId="1" applyNumberFormat="1" applyFont="1" applyFill="1" applyBorder="1" applyAlignment="1">
      <alignment horizontal="center"/>
    </xf>
    <xf numFmtId="14" fontId="0" fillId="0" borderId="0" xfId="0" applyNumberFormat="1" applyFill="1" applyAlignment="1">
      <alignment horizontal="left"/>
    </xf>
    <xf numFmtId="0" fontId="0" fillId="0" borderId="0" xfId="0" applyFill="1"/>
    <xf numFmtId="37" fontId="0" fillId="0" borderId="0" xfId="0" applyNumberFormat="1" applyFill="1"/>
    <xf numFmtId="195" fontId="0" fillId="0" borderId="0" xfId="0" applyNumberFormat="1" applyFill="1"/>
    <xf numFmtId="3" fontId="1" fillId="0" borderId="0" xfId="0" applyNumberFormat="1" applyFont="1" applyFill="1"/>
    <xf numFmtId="172" fontId="0" fillId="0" borderId="0" xfId="0" applyNumberFormat="1" applyFill="1"/>
    <xf numFmtId="172" fontId="41" fillId="0" borderId="0" xfId="0" applyNumberFormat="1" applyFont="1" applyFill="1"/>
    <xf numFmtId="0" fontId="0" fillId="0" borderId="0" xfId="0" applyFill="1" applyAlignment="1">
      <alignment wrapText="1"/>
    </xf>
    <xf numFmtId="37" fontId="0" fillId="0" borderId="0" xfId="0" applyNumberFormat="1" applyFill="1" applyAlignment="1">
      <alignment horizontal="center"/>
    </xf>
    <xf numFmtId="172" fontId="18" fillId="0" borderId="0" xfId="39" applyNumberFormat="1" applyFont="1" applyFill="1" applyBorder="1"/>
    <xf numFmtId="172" fontId="19" fillId="0" borderId="0" xfId="0" applyNumberFormat="1" applyFont="1" applyFill="1"/>
    <xf numFmtId="43" fontId="0" fillId="0" borderId="0" xfId="0" applyNumberFormat="1" applyFill="1"/>
    <xf numFmtId="0" fontId="1" fillId="0" borderId="0" xfId="0" applyFont="1" applyFill="1"/>
    <xf numFmtId="6" fontId="0" fillId="0" borderId="0" xfId="0" applyNumberFormat="1" applyFill="1"/>
    <xf numFmtId="3" fontId="0" fillId="0" borderId="0" xfId="0" applyNumberFormat="1" applyFill="1"/>
    <xf numFmtId="0" fontId="19" fillId="0" borderId="0" xfId="0" applyFont="1" applyFill="1"/>
    <xf numFmtId="0" fontId="19" fillId="0" borderId="0" xfId="0" applyFont="1" applyFill="1" applyAlignment="1">
      <alignment wrapText="1"/>
    </xf>
    <xf numFmtId="172" fontId="19" fillId="0" borderId="0" xfId="39" applyNumberFormat="1" applyFont="1" applyFill="1"/>
    <xf numFmtId="17" fontId="0" fillId="0" borderId="0" xfId="0" applyNumberFormat="1" applyFill="1" applyAlignment="1">
      <alignment horizontal="left"/>
    </xf>
    <xf numFmtId="173" fontId="41" fillId="0" borderId="0" xfId="35" applyNumberFormat="1" applyFont="1" applyFill="1"/>
    <xf numFmtId="37" fontId="19" fillId="0" borderId="0" xfId="0" applyNumberFormat="1" applyFont="1" applyFill="1"/>
    <xf numFmtId="37" fontId="19" fillId="0" borderId="0" xfId="0" applyNumberFormat="1" applyFont="1" applyFill="1" applyAlignment="1">
      <alignment horizontal="center"/>
    </xf>
    <xf numFmtId="172" fontId="19" fillId="0" borderId="0" xfId="39" applyNumberFormat="1" applyFont="1" applyFill="1" applyBorder="1"/>
    <xf numFmtId="172" fontId="19" fillId="0" borderId="7" xfId="39" applyNumberFormat="1" applyFont="1" applyFill="1" applyBorder="1"/>
    <xf numFmtId="0" fontId="23" fillId="0" borderId="1" xfId="0" applyFont="1" applyBorder="1" applyAlignment="1">
      <alignment horizontal="center" wrapText="1"/>
    </xf>
    <xf numFmtId="0" fontId="0" fillId="0" borderId="1" xfId="0" applyFill="1" applyBorder="1"/>
    <xf numFmtId="0" fontId="12" fillId="0" borderId="0" xfId="0" applyFont="1" applyFill="1" applyAlignment="1">
      <alignment horizontal="center" wrapText="1"/>
    </xf>
    <xf numFmtId="201" fontId="12" fillId="0" borderId="0" xfId="39" applyNumberFormat="1" applyFont="1" applyFill="1" applyAlignment="1">
      <alignment horizontal="center"/>
    </xf>
    <xf numFmtId="201" fontId="12" fillId="0" borderId="0" xfId="0" applyNumberFormat="1" applyFont="1" applyFill="1" applyAlignment="1">
      <alignment horizontal="center"/>
    </xf>
    <xf numFmtId="172" fontId="12" fillId="10" borderId="0" xfId="39" applyNumberFormat="1" applyFont="1" applyFill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35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0" xfId="0" applyFont="1" applyFill="1"/>
    <xf numFmtId="14" fontId="26" fillId="0" borderId="0" xfId="0" applyNumberFormat="1" applyFont="1" applyFill="1" applyAlignment="1">
      <alignment horizontal="center" wrapText="1"/>
    </xf>
    <xf numFmtId="0" fontId="12" fillId="0" borderId="0" xfId="0" applyFont="1" applyFill="1"/>
    <xf numFmtId="176" fontId="25" fillId="0" borderId="0" xfId="42" quotePrefix="1" applyNumberFormat="1" applyFont="1" applyFill="1" applyAlignment="1">
      <alignment horizontal="right"/>
    </xf>
    <xf numFmtId="2" fontId="12" fillId="10" borderId="0" xfId="0" applyNumberFormat="1" applyFont="1" applyFill="1"/>
    <xf numFmtId="3" fontId="15" fillId="0" borderId="0" xfId="0" applyNumberFormat="1" applyFont="1" applyFill="1"/>
    <xf numFmtId="193" fontId="15" fillId="0" borderId="0" xfId="0" applyNumberFormat="1" applyFont="1" applyFill="1"/>
    <xf numFmtId="0" fontId="15" fillId="0" borderId="33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165" fontId="0" fillId="0" borderId="0" xfId="40" applyNumberFormat="1" applyFont="1" applyFill="1" applyAlignment="1">
      <alignment horizontal="right"/>
    </xf>
    <xf numFmtId="0" fontId="14" fillId="0" borderId="39" xfId="2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Alignment="1">
      <alignment horizontal="center"/>
    </xf>
    <xf numFmtId="201" fontId="12" fillId="10" borderId="0" xfId="39" applyNumberFormat="1" applyFont="1" applyFill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36" fillId="0" borderId="0" xfId="20" applyFont="1" applyFill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193" fontId="40" fillId="0" borderId="0" xfId="0" applyNumberFormat="1" applyFont="1" applyFill="1"/>
    <xf numFmtId="0" fontId="15" fillId="0" borderId="4" xfId="0" applyFont="1" applyFill="1" applyBorder="1" applyAlignment="1">
      <alignment horizontal="center"/>
    </xf>
    <xf numFmtId="0" fontId="55" fillId="0" borderId="0" xfId="0" applyFont="1" applyFill="1" applyAlignment="1">
      <alignment horizontal="right"/>
    </xf>
    <xf numFmtId="1" fontId="55" fillId="0" borderId="0" xfId="0" applyNumberFormat="1" applyFont="1" applyFill="1"/>
    <xf numFmtId="0" fontId="15" fillId="0" borderId="7" xfId="0" applyFont="1" applyFill="1" applyBorder="1"/>
    <xf numFmtId="0" fontId="54" fillId="0" borderId="0" xfId="0" applyFont="1" applyFill="1"/>
    <xf numFmtId="44" fontId="15" fillId="0" borderId="4" xfId="0" applyNumberFormat="1" applyFont="1" applyFill="1" applyBorder="1"/>
    <xf numFmtId="0" fontId="15" fillId="0" borderId="4" xfId="0" applyFont="1" applyFill="1" applyBorder="1"/>
    <xf numFmtId="0" fontId="26" fillId="0" borderId="10" xfId="1" applyFont="1" applyFill="1" applyBorder="1" applyAlignment="1">
      <alignment horizontal="center"/>
    </xf>
    <xf numFmtId="0" fontId="26" fillId="0" borderId="11" xfId="1" applyFont="1" applyFill="1" applyBorder="1" applyAlignment="1">
      <alignment horizontal="center"/>
    </xf>
    <xf numFmtId="0" fontId="26" fillId="0" borderId="12" xfId="1" applyFont="1" applyFill="1" applyBorder="1" applyAlignment="1">
      <alignment horizontal="center"/>
    </xf>
    <xf numFmtId="0" fontId="26" fillId="0" borderId="29" xfId="1" applyFont="1" applyFill="1" applyBorder="1"/>
    <xf numFmtId="0" fontId="25" fillId="0" borderId="16" xfId="1" applyFont="1" applyFill="1" applyBorder="1" applyAlignment="1">
      <alignment horizontal="right"/>
    </xf>
    <xf numFmtId="0" fontId="25" fillId="0" borderId="4" xfId="1" applyFont="1" applyFill="1" applyBorder="1" applyAlignment="1">
      <alignment horizontal="right"/>
    </xf>
    <xf numFmtId="14" fontId="25" fillId="0" borderId="4" xfId="1" quotePrefix="1" applyNumberFormat="1" applyFont="1" applyFill="1" applyBorder="1" applyAlignment="1">
      <alignment horizontal="center" wrapText="1"/>
    </xf>
    <xf numFmtId="0" fontId="40" fillId="0" borderId="29" xfId="1" applyFont="1" applyFill="1" applyBorder="1" applyAlignment="1">
      <alignment horizontal="center" wrapText="1"/>
    </xf>
    <xf numFmtId="0" fontId="40" fillId="0" borderId="23" xfId="1" applyFont="1" applyFill="1" applyBorder="1" applyAlignment="1">
      <alignment horizontal="center" wrapText="1"/>
    </xf>
    <xf numFmtId="0" fontId="25" fillId="0" borderId="18" xfId="1" applyFont="1" applyFill="1" applyBorder="1" applyAlignment="1">
      <alignment horizontal="center"/>
    </xf>
    <xf numFmtId="0" fontId="25" fillId="0" borderId="8" xfId="1" applyFont="1" applyFill="1" applyBorder="1" applyAlignment="1">
      <alignment horizontal="center"/>
    </xf>
    <xf numFmtId="14" fontId="25" fillId="0" borderId="21" xfId="1" quotePrefix="1" applyNumberFormat="1" applyFont="1" applyFill="1" applyBorder="1" applyAlignment="1">
      <alignment horizontal="center" wrapText="1"/>
    </xf>
    <xf numFmtId="14" fontId="25" fillId="0" borderId="4" xfId="1" applyNumberFormat="1" applyFont="1" applyFill="1" applyBorder="1" applyAlignment="1">
      <alignment horizontal="center" wrapText="1"/>
    </xf>
    <xf numFmtId="0" fontId="25" fillId="0" borderId="36" xfId="1" applyFont="1" applyFill="1" applyBorder="1" applyAlignment="1">
      <alignment horizontal="center" wrapText="1"/>
    </xf>
    <xf numFmtId="0" fontId="25" fillId="0" borderId="19" xfId="1" applyFont="1" applyFill="1" applyBorder="1" applyAlignment="1">
      <alignment horizontal="right"/>
    </xf>
    <xf numFmtId="0" fontId="25" fillId="0" borderId="20" xfId="1" applyFont="1" applyFill="1" applyBorder="1" applyAlignment="1">
      <alignment horizontal="right"/>
    </xf>
    <xf numFmtId="165" fontId="25" fillId="0" borderId="22" xfId="40" applyNumberFormat="1" applyFont="1" applyFill="1" applyBorder="1" applyAlignment="1">
      <alignment horizontal="center"/>
    </xf>
    <xf numFmtId="165" fontId="25" fillId="0" borderId="32" xfId="25" applyNumberFormat="1" applyFont="1" applyFill="1" applyBorder="1" applyAlignment="1">
      <alignment horizontal="center"/>
    </xf>
    <xf numFmtId="165" fontId="40" fillId="0" borderId="29" xfId="22" applyNumberFormat="1" applyFont="1" applyFill="1" applyBorder="1" applyAlignment="1">
      <alignment horizontal="center"/>
    </xf>
    <xf numFmtId="0" fontId="40" fillId="0" borderId="0" xfId="0" applyFont="1" applyFill="1"/>
    <xf numFmtId="0" fontId="25" fillId="0" borderId="31" xfId="1" applyFont="1" applyFill="1" applyBorder="1" applyAlignment="1">
      <alignment horizontal="right"/>
    </xf>
    <xf numFmtId="174" fontId="25" fillId="0" borderId="20" xfId="1" applyNumberFormat="1" applyFont="1" applyFill="1" applyBorder="1" applyAlignment="1">
      <alignment horizontal="center"/>
    </xf>
    <xf numFmtId="0" fontId="25" fillId="0" borderId="29" xfId="1" applyFont="1" applyFill="1" applyBorder="1" applyAlignment="1">
      <alignment horizontal="right"/>
    </xf>
    <xf numFmtId="0" fontId="25" fillId="0" borderId="30" xfId="1" applyFont="1" applyFill="1" applyBorder="1" applyAlignment="1">
      <alignment horizontal="right"/>
    </xf>
    <xf numFmtId="174" fontId="25" fillId="0" borderId="30" xfId="1" applyNumberFormat="1" applyFont="1" applyFill="1" applyBorder="1" applyAlignment="1">
      <alignment horizontal="center"/>
    </xf>
    <xf numFmtId="0" fontId="25" fillId="0" borderId="24" xfId="1" applyFont="1" applyFill="1" applyBorder="1" applyAlignment="1">
      <alignment horizontal="right"/>
    </xf>
    <xf numFmtId="0" fontId="25" fillId="0" borderId="25" xfId="1" applyFont="1" applyFill="1" applyBorder="1" applyAlignment="1">
      <alignment horizontal="right"/>
    </xf>
    <xf numFmtId="174" fontId="25" fillId="0" borderId="27" xfId="1" applyNumberFormat="1" applyFont="1" applyFill="1" applyBorder="1" applyAlignment="1">
      <alignment horizontal="center"/>
    </xf>
    <xf numFmtId="165" fontId="25" fillId="0" borderId="37" xfId="25" applyNumberFormat="1" applyFont="1" applyFill="1" applyBorder="1" applyAlignment="1">
      <alignment horizontal="center"/>
    </xf>
    <xf numFmtId="0" fontId="25" fillId="0" borderId="26" xfId="1" applyFont="1" applyFill="1" applyBorder="1" applyAlignment="1">
      <alignment horizontal="right"/>
    </xf>
    <xf numFmtId="174" fontId="25" fillId="0" borderId="25" xfId="1" applyNumberFormat="1" applyFont="1" applyFill="1" applyBorder="1" applyAlignment="1">
      <alignment horizontal="center"/>
    </xf>
    <xf numFmtId="165" fontId="25" fillId="0" borderId="38" xfId="25" applyNumberFormat="1" applyFont="1" applyFill="1" applyBorder="1" applyAlignment="1">
      <alignment horizontal="center"/>
    </xf>
    <xf numFmtId="174" fontId="15" fillId="0" borderId="0" xfId="0" applyNumberFormat="1" applyFont="1" applyFill="1"/>
    <xf numFmtId="0" fontId="27" fillId="0" borderId="10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27" fillId="0" borderId="29" xfId="0" applyFont="1" applyFill="1" applyBorder="1"/>
    <xf numFmtId="0" fontId="25" fillId="0" borderId="18" xfId="1" applyFont="1" applyFill="1" applyBorder="1" applyAlignment="1">
      <alignment horizontal="center"/>
    </xf>
    <xf numFmtId="0" fontId="25" fillId="0" borderId="1" xfId="1" applyFont="1" applyFill="1" applyBorder="1" applyAlignment="1">
      <alignment horizontal="center"/>
    </xf>
    <xf numFmtId="0" fontId="25" fillId="0" borderId="29" xfId="1" applyFont="1" applyFill="1" applyBorder="1" applyAlignment="1">
      <alignment horizontal="center" wrapText="1"/>
    </xf>
    <xf numFmtId="0" fontId="25" fillId="0" borderId="41" xfId="1" applyFont="1" applyFill="1" applyBorder="1" applyAlignment="1">
      <alignment horizontal="center" wrapText="1"/>
    </xf>
    <xf numFmtId="0" fontId="25" fillId="0" borderId="29" xfId="1" applyFont="1" applyFill="1" applyBorder="1" applyAlignment="1">
      <alignment horizontal="right"/>
    </xf>
    <xf numFmtId="0" fontId="25" fillId="0" borderId="30" xfId="1" applyFont="1" applyFill="1" applyBorder="1" applyAlignment="1">
      <alignment horizontal="right"/>
    </xf>
    <xf numFmtId="44" fontId="25" fillId="0" borderId="30" xfId="1" applyNumberFormat="1" applyFont="1" applyFill="1" applyBorder="1" applyAlignment="1">
      <alignment horizontal="center"/>
    </xf>
    <xf numFmtId="165" fontId="25" fillId="0" borderId="35" xfId="22" applyNumberFormat="1" applyFont="1" applyFill="1" applyBorder="1" applyAlignment="1">
      <alignment horizontal="center"/>
    </xf>
    <xf numFmtId="165" fontId="25" fillId="0" borderId="32" xfId="22" applyNumberFormat="1" applyFont="1" applyFill="1" applyBorder="1" applyAlignment="1">
      <alignment horizontal="center"/>
    </xf>
    <xf numFmtId="44" fontId="25" fillId="0" borderId="25" xfId="1" applyNumberFormat="1" applyFont="1" applyFill="1" applyBorder="1" applyAlignment="1">
      <alignment horizontal="center"/>
    </xf>
    <xf numFmtId="165" fontId="25" fillId="0" borderId="37" xfId="22" applyNumberFormat="1" applyFont="1" applyFill="1" applyBorder="1" applyAlignment="1">
      <alignment horizontal="center"/>
    </xf>
    <xf numFmtId="9" fontId="40" fillId="0" borderId="0" xfId="40" applyFont="1" applyFill="1"/>
    <xf numFmtId="0" fontId="15" fillId="0" borderId="29" xfId="0" applyFont="1" applyFill="1" applyBorder="1"/>
    <xf numFmtId="0" fontId="27" fillId="0" borderId="13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5" fillId="0" borderId="8" xfId="1" applyFont="1" applyFill="1" applyBorder="1" applyAlignment="1">
      <alignment horizontal="center"/>
    </xf>
    <xf numFmtId="49" fontId="25" fillId="0" borderId="4" xfId="1" quotePrefix="1" applyNumberFormat="1" applyFont="1" applyFill="1" applyBorder="1" applyAlignment="1">
      <alignment horizontal="center" wrapText="1"/>
    </xf>
    <xf numFmtId="0" fontId="25" fillId="0" borderId="17" xfId="1" applyFont="1" applyFill="1" applyBorder="1" applyAlignment="1">
      <alignment horizontal="center" wrapText="1"/>
    </xf>
    <xf numFmtId="0" fontId="25" fillId="0" borderId="0" xfId="1" applyFont="1" applyFill="1" applyAlignment="1">
      <alignment horizontal="right"/>
    </xf>
    <xf numFmtId="201" fontId="12" fillId="10" borderId="0" xfId="0" applyNumberFormat="1" applyFont="1" applyFill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165" fontId="0" fillId="0" borderId="0" xfId="40" applyNumberFormat="1" applyFont="1" applyFill="1" applyAlignment="1">
      <alignment horizontal="center"/>
    </xf>
    <xf numFmtId="172" fontId="61" fillId="0" borderId="0" xfId="39" applyNumberFormat="1" applyFont="1" applyFill="1" applyBorder="1"/>
    <xf numFmtId="0" fontId="65" fillId="0" borderId="0" xfId="0" applyFont="1"/>
    <xf numFmtId="0" fontId="20" fillId="0" borderId="0" xfId="0" applyFont="1" applyFill="1" applyAlignment="1"/>
    <xf numFmtId="0" fontId="41" fillId="0" borderId="0" xfId="0" applyFont="1" applyFill="1" applyAlignment="1">
      <alignment horizontal="center"/>
    </xf>
    <xf numFmtId="37" fontId="0" fillId="16" borderId="0" xfId="0" applyNumberFormat="1" applyFill="1"/>
    <xf numFmtId="172" fontId="0" fillId="16" borderId="0" xfId="0" applyNumberFormat="1" applyFill="1"/>
    <xf numFmtId="172" fontId="19" fillId="16" borderId="0" xfId="0" applyNumberFormat="1" applyFont="1" applyFill="1"/>
    <xf numFmtId="172" fontId="61" fillId="16" borderId="0" xfId="39" applyNumberFormat="1" applyFont="1" applyFill="1" applyBorder="1"/>
    <xf numFmtId="172" fontId="0" fillId="16" borderId="0" xfId="39" applyNumberFormat="1" applyFont="1" applyFill="1"/>
  </cellXfs>
  <cellStyles count="71">
    <cellStyle name="_x0010_“+ˆÉ•?pý¤" xfId="56" xr:uid="{AAB2CC73-5E4D-4702-9A54-3B17F4170E9D}"/>
    <cellStyle name="Actual Date" xfId="2" xr:uid="{90A20703-E73F-4FFB-9D41-11B9B8598C31}"/>
    <cellStyle name="Actual Date 2" xfId="57" xr:uid="{5081DE82-2029-4827-9AF9-7B1AE9A73FE2}"/>
    <cellStyle name="Actual Date 2 2" xfId="63" xr:uid="{B67C9283-4392-474F-9FB5-5DBAB6F79502}"/>
    <cellStyle name="Comma" xfId="39" builtinId="3"/>
    <cellStyle name="Comma [0] 2" xfId="48" xr:uid="{162F856C-75E3-4868-B3AC-6EF06F17C4FC}"/>
    <cellStyle name="Comma 2" xfId="3" xr:uid="{A463B59C-A829-4CA9-983F-290777244053}"/>
    <cellStyle name="Comma 3" xfId="47" xr:uid="{0963D63D-5763-4CFE-AD42-240379CC31C8}"/>
    <cellStyle name="Comma 31 2" xfId="36" xr:uid="{6112A572-923D-4AF2-B44E-C0DB9129578D}"/>
    <cellStyle name="Comma 4" xfId="70" xr:uid="{472F506F-A02F-42B6-8D70-7BE8C1BA4F41}"/>
    <cellStyle name="Comma0" xfId="4" xr:uid="{BFA70494-24E7-4EB4-8245-3E92DE30AB79}"/>
    <cellStyle name="Currency" xfId="35" builtinId="4"/>
    <cellStyle name="Currency [0] 2" xfId="46" xr:uid="{70280F9D-97C7-42DD-9BF4-C98DADE21D70}"/>
    <cellStyle name="Currency 2" xfId="6" xr:uid="{C853109E-BA78-4949-AE6E-97FBB2C947A2}"/>
    <cellStyle name="Currency 3" xfId="5" xr:uid="{71193358-ACE2-4128-B76E-A894406DE180}"/>
    <cellStyle name="Currency 4" xfId="45" xr:uid="{B9EED9D9-BAA1-4E8B-B70D-8CFF8975C509}"/>
    <cellStyle name="Currency0" xfId="7" xr:uid="{11C847DE-D199-4798-B8A6-6DF371C1596F}"/>
    <cellStyle name="Date" xfId="8" xr:uid="{55B42165-9C35-400C-8039-99C32BF8F8D1}"/>
    <cellStyle name="Date 2" xfId="58" xr:uid="{8138A17D-8AFB-4CE2-A576-861FB754B1B2}"/>
    <cellStyle name="Fixed" xfId="9" xr:uid="{73C8C8B8-EF3A-48A3-A48A-A4A6A3CEB441}"/>
    <cellStyle name="Fixed 2" xfId="59" xr:uid="{BF0AF9AB-9D8D-48FC-AA77-6CCFE11077C5}"/>
    <cellStyle name="Grey" xfId="10" xr:uid="{B049FF98-EED1-44B0-B326-4132EA93C5E2}"/>
    <cellStyle name="Grey 2" xfId="49" xr:uid="{98622DFE-A551-469F-BD88-EF8AEE3B8ECA}"/>
    <cellStyle name="HEADER" xfId="11" xr:uid="{EADF02B1-8108-4E0E-9DB6-F65EA011F410}"/>
    <cellStyle name="Heading 1 2" xfId="12" xr:uid="{C958FC72-ADC5-4A1B-8837-26CC92340585}"/>
    <cellStyle name="Heading 2 2" xfId="13" xr:uid="{6C11C16C-14DA-433C-B90A-019D9D58FAA5}"/>
    <cellStyle name="Heading1" xfId="14" xr:uid="{D5CB65F7-622F-48D9-BDFE-EA5710CB06E5}"/>
    <cellStyle name="Heading2" xfId="15" xr:uid="{B6C120CA-23B0-46B6-A206-F21EFD627A0E}"/>
    <cellStyle name="HIGHLIGHT" xfId="16" xr:uid="{0FA977AC-6A13-4F7D-B4C6-304F02BAB7E6}"/>
    <cellStyle name="Hyperlink 3" xfId="67" xr:uid="{9A670481-784D-4386-8511-D541DD9F96EC}"/>
    <cellStyle name="Input [yellow]" xfId="17" xr:uid="{483402D1-6D66-4584-B91A-9EFB4E29CD72}"/>
    <cellStyle name="Input [yellow] 2" xfId="50" xr:uid="{3479EC4D-FA0C-44AD-BFB1-E5483485436F}"/>
    <cellStyle name="no dec" xfId="18" xr:uid="{1FFD3759-CFEB-431B-95E2-F9D56114D76C}"/>
    <cellStyle name="Normal" xfId="0" builtinId="0"/>
    <cellStyle name="Normal - Style1" xfId="19" xr:uid="{09AAD6A7-C83A-4809-BC97-D6D075635A0F}"/>
    <cellStyle name="Normal - Style1 2" xfId="51" xr:uid="{A36E7241-7D7A-446A-AE46-897B9848A8A7}"/>
    <cellStyle name="Normal 10" xfId="34" xr:uid="{11F0179F-876F-4C81-8782-FEAE6EA9A44F}"/>
    <cellStyle name="Normal 19" xfId="37" xr:uid="{2E801201-3018-4BBB-869B-19B0A8909CC2}"/>
    <cellStyle name="Normal 2" xfId="1" xr:uid="{FCF77B81-9A51-4CFC-8630-2394A24C8B4C}"/>
    <cellStyle name="Normal 2 10 10" xfId="61" xr:uid="{4110C643-72A2-48D0-AB32-72BED6862E98}"/>
    <cellStyle name="Normal 2 2" xfId="20" xr:uid="{768976F9-6BF3-4C64-A7A2-0699BE302438}"/>
    <cellStyle name="Normal 2 2 2" xfId="66" xr:uid="{AD042F41-ECEB-46F9-9972-79343188A2B9}"/>
    <cellStyle name="Normal 2 2 3" xfId="54" xr:uid="{F097BE2F-C1DF-4808-8B93-136DAFC079D0}"/>
    <cellStyle name="Normal 2 3" xfId="53" xr:uid="{7BDDD26F-CD0D-48AB-AB15-4F2082187FD0}"/>
    <cellStyle name="Normal 2 4" xfId="65" xr:uid="{CEE47971-2CB1-4289-BDA7-46AC65784E98}"/>
    <cellStyle name="Normal 208 5 8" xfId="68" xr:uid="{A46F6EA7-D736-4486-8200-CFEB70001B34}"/>
    <cellStyle name="Normal 3" xfId="21" xr:uid="{1BE115B0-68EE-409A-BE42-7964F3B2186B}"/>
    <cellStyle name="Normal 3 2" xfId="31" xr:uid="{EBD24680-6BB0-4648-B6FB-486BE3B05DA3}"/>
    <cellStyle name="Normal 4" xfId="38" xr:uid="{1BC7C7CD-A29E-49D5-ACE9-28B9AEC0F15E}"/>
    <cellStyle name="Normal 4 2" xfId="55" xr:uid="{294F292F-C751-4760-BBE6-DF7528BFFF64}"/>
    <cellStyle name="Normal 5" xfId="60" xr:uid="{50F6C0A5-95DF-447C-B0B3-342AF1735AC0}"/>
    <cellStyle name="Normal 5 2" xfId="64" xr:uid="{3C9418E6-6645-4025-85D2-2A2A59A4AF5D}"/>
    <cellStyle name="Normal 6" xfId="69" xr:uid="{EC59DD7F-761E-4AF5-936C-C2D6CAA1F3E2}"/>
    <cellStyle name="Normal 9" xfId="32" xr:uid="{74F7FB52-B68E-44BF-B225-318676247797}"/>
    <cellStyle name="Normal_Bill Impacts (UDC and EECC Rates)" xfId="62" xr:uid="{5176955C-BBC6-41AA-92A4-84F6FB4F7F58}"/>
    <cellStyle name="Normal_Effective Rates (1-6-2003)" xfId="41" xr:uid="{2BB44F1E-EE46-452C-B99F-141D84227AFB}"/>
    <cellStyle name="Normal_RD-WP(Combined 1-01-01 filing)" xfId="43" xr:uid="{BB5A44EF-4D99-404D-ABC9-E78DF42F5A40}"/>
    <cellStyle name="Normal_SDGE Tiered ratesmud" xfId="42" xr:uid="{292919E0-12A2-4E43-A1A2-4C24DB3B257A}"/>
    <cellStyle name="Percent" xfId="40" builtinId="5"/>
    <cellStyle name="Percent [2]" xfId="23" xr:uid="{E59307F2-F086-4441-9673-C73345619B92}"/>
    <cellStyle name="Percent 2" xfId="24" xr:uid="{53FD8FB0-DE16-440B-8091-1A5F721D0797}"/>
    <cellStyle name="Percent 3" xfId="25" xr:uid="{FD09ACED-468E-42F6-A1AA-5A76707CDC8A}"/>
    <cellStyle name="Percent 4" xfId="33" xr:uid="{75FC7505-8CA7-4DC6-AF7E-0A549648BDAB}"/>
    <cellStyle name="Percent 5" xfId="22" xr:uid="{FDA81B20-6FA8-49F6-A9CF-1116F234E27E}"/>
    <cellStyle name="Percent 6" xfId="44" xr:uid="{E63A8815-2CE5-4B23-BCD9-1050A93745E5}"/>
    <cellStyle name="Total 2" xfId="26" xr:uid="{B7044CB5-68EF-42DF-AE5D-9CDC42788CD9}"/>
    <cellStyle name="Unprot" xfId="27" xr:uid="{C5877B4C-C00B-4575-97C3-8AFFB3689A95}"/>
    <cellStyle name="Unprot 2" xfId="52" xr:uid="{C0BB8D62-0188-49C7-A43C-A149C87B528C}"/>
    <cellStyle name="Unprot$" xfId="28" xr:uid="{67D3E91F-4980-4407-9928-2E00A0F61904}"/>
    <cellStyle name="Unprot_07-2008 CSI Update v1.5 - FINAL" xfId="29" xr:uid="{12952277-79F8-44C2-A6A3-D712ABB4C91F}"/>
    <cellStyle name="Unprotect" xfId="30" xr:uid="{B510A288-A05D-40A2-AD64-2906F1437A0A}"/>
  </cellStyles>
  <dxfs count="1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0000FF"/>
      <color rgb="FFFFE5FF"/>
      <color rgb="FFCC99FF"/>
      <color rgb="FF66FFFF"/>
      <color rgb="FFBDFFDE"/>
      <color rgb="FFEFE7FD"/>
      <color rgb="FF99FFCC"/>
      <color rgb="FFAF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9</xdr:row>
      <xdr:rowOff>0</xdr:rowOff>
    </xdr:from>
    <xdr:to>
      <xdr:col>5</xdr:col>
      <xdr:colOff>12700</xdr:colOff>
      <xdr:row>16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141E9F-9D49-7891-1F58-C2F7CD113892}"/>
            </a:ext>
          </a:extLst>
        </xdr:cNvPr>
        <xdr:cNvSpPr txBox="1"/>
      </xdr:nvSpPr>
      <xdr:spPr>
        <a:xfrm>
          <a:off x="2076450" y="1701800"/>
          <a:ext cx="10331450" cy="1320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Quarterly Tracker, as developed per the Affordability OIR and used across the California IOUs, performs high-level rate and bill calculation estimates which will not replicate rate or bill impacts that match SDG&amp;E’s modeling used for CPUC/FERC filings and implementation.</a:t>
          </a:r>
          <a:b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Different rate components use simplified allocations that may not reflect actual revenue allocation and rate design.</a:t>
          </a:r>
          <a:r>
            <a:rPr lang="en-US"/>
            <a:t> </a:t>
          </a:r>
          <a:br>
            <a:rPr lang="en-US"/>
          </a:br>
          <a:br>
            <a:rPr lang="en-US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Forecasts may be held constant in outer years if an application has not yet been filed requesting a change, but it is not expected to roll-off. For example, the ERRA Application forecasts for the current year are held constant over the next four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years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will be updated as new ERRA Applications are filed.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1D80-63B9-4E40-9FE6-558C04A1579E}">
  <dimension ref="D8:E11"/>
  <sheetViews>
    <sheetView showGridLines="0" tabSelected="1" zoomScale="80" zoomScaleNormal="80" workbookViewId="0"/>
  </sheetViews>
  <sheetFormatPr defaultRowHeight="14.4"/>
  <cols>
    <col min="4" max="4" width="3.5546875" style="435" customWidth="1"/>
    <col min="5" max="5" width="150.5546875" customWidth="1"/>
  </cols>
  <sheetData>
    <row r="8" spans="4:5" ht="18">
      <c r="E8" s="434" t="s">
        <v>449</v>
      </c>
    </row>
    <row r="9" spans="4:5">
      <c r="D9" s="436"/>
      <c r="E9" s="433"/>
    </row>
    <row r="10" spans="4:5">
      <c r="D10" s="436"/>
      <c r="E10" s="433"/>
    </row>
    <row r="11" spans="4:5">
      <c r="D11" s="436"/>
      <c r="E11" s="433"/>
    </row>
  </sheetData>
  <pageMargins left="0.7" right="0.7" top="0.75" bottom="0.75" header="0.3" footer="0.3"/>
  <headerFooter>
    <oddFooter xml:space="preserve">&amp;C_x000D_&amp;1#&amp;"Calibri"&amp;12&amp;K000000 Public 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DC67-FE27-45CE-929F-9CCB6CAE3578}">
  <sheetPr codeName="Sheet8">
    <tabColor rgb="FF92D050"/>
  </sheetPr>
  <dimension ref="B1:S103"/>
  <sheetViews>
    <sheetView zoomScale="80" zoomScaleNormal="80" workbookViewId="0"/>
  </sheetViews>
  <sheetFormatPr defaultColWidth="8.88671875" defaultRowHeight="14.4"/>
  <cols>
    <col min="1" max="1" width="5.5546875" style="6" customWidth="1"/>
    <col min="2" max="2" width="16.5546875" style="6" customWidth="1"/>
    <col min="3" max="3" width="18.109375" style="6" customWidth="1"/>
    <col min="4" max="9" width="16.88671875" style="6" customWidth="1"/>
    <col min="10" max="10" width="23.5546875" style="6" customWidth="1"/>
    <col min="11" max="12" width="15.5546875" style="6" customWidth="1"/>
    <col min="13" max="16" width="13.44140625" style="6" customWidth="1"/>
    <col min="17" max="17" width="15.44140625" style="6" bestFit="1" customWidth="1"/>
    <col min="18" max="18" width="15.88671875" style="6" customWidth="1"/>
    <col min="19" max="23" width="15.5546875" style="6" customWidth="1"/>
    <col min="24" max="16384" width="8.88671875" style="6"/>
  </cols>
  <sheetData>
    <row r="1" spans="2:18">
      <c r="B1" s="445" t="s">
        <v>125</v>
      </c>
      <c r="F1" s="40" t="s">
        <v>126</v>
      </c>
      <c r="G1" s="41"/>
      <c r="H1" s="41"/>
      <c r="L1" s="40" t="s">
        <v>457</v>
      </c>
      <c r="N1" s="40"/>
      <c r="O1" s="41"/>
      <c r="P1" s="41"/>
    </row>
    <row r="2" spans="2:18">
      <c r="B2" s="41"/>
      <c r="C2" s="42"/>
      <c r="D2" s="41"/>
      <c r="E2" s="41"/>
      <c r="F2" s="41" t="s">
        <v>127</v>
      </c>
      <c r="G2" s="43"/>
      <c r="H2" s="46" t="str">
        <f>Summary!I2</f>
        <v>10/1/25</v>
      </c>
      <c r="L2" s="6" t="s">
        <v>488</v>
      </c>
    </row>
    <row r="3" spans="2:18">
      <c r="B3" s="44"/>
      <c r="C3" s="45" t="s">
        <v>128</v>
      </c>
      <c r="D3" s="286" t="s">
        <v>129</v>
      </c>
      <c r="F3" s="41" t="s">
        <v>130</v>
      </c>
      <c r="G3" s="43"/>
      <c r="H3" s="46">
        <f>Summary!I3</f>
        <v>2026</v>
      </c>
      <c r="L3" s="6" t="s">
        <v>459</v>
      </c>
    </row>
    <row r="4" spans="2:18">
      <c r="F4" s="44" t="s">
        <v>134</v>
      </c>
      <c r="H4" s="52">
        <f>Summary!I4</f>
        <v>5</v>
      </c>
      <c r="I4" s="44" t="s">
        <v>135</v>
      </c>
      <c r="L4" s="6" t="s">
        <v>454</v>
      </c>
    </row>
    <row r="5" spans="2:18">
      <c r="D5" s="47" t="s">
        <v>161</v>
      </c>
      <c r="F5" s="44" t="s">
        <v>136</v>
      </c>
      <c r="H5" s="52">
        <f>Summary!I5</f>
        <v>7</v>
      </c>
      <c r="I5" s="44" t="s">
        <v>135</v>
      </c>
      <c r="L5" s="442"/>
      <c r="M5" s="549" t="s">
        <v>455</v>
      </c>
      <c r="N5" s="550"/>
      <c r="O5" s="549" t="s">
        <v>456</v>
      </c>
      <c r="P5" s="550"/>
    </row>
    <row r="6" spans="2:18">
      <c r="C6" s="188" t="s">
        <v>3</v>
      </c>
      <c r="D6" s="287"/>
      <c r="F6" s="44" t="s">
        <v>458</v>
      </c>
      <c r="H6" s="670">
        <f>IF($H$8="N",0,'Sales Allocations &amp; CCC'!$R$3)</f>
        <v>-81.37725457534664</v>
      </c>
      <c r="I6" s="44" t="s">
        <v>188</v>
      </c>
      <c r="L6" s="443" t="s">
        <v>131</v>
      </c>
      <c r="M6" s="443" t="s">
        <v>196</v>
      </c>
      <c r="N6" s="443" t="s">
        <v>197</v>
      </c>
      <c r="O6" s="443" t="s">
        <v>196</v>
      </c>
      <c r="P6" s="443" t="s">
        <v>197</v>
      </c>
    </row>
    <row r="7" spans="2:18">
      <c r="C7" s="189" t="s">
        <v>389</v>
      </c>
      <c r="D7" s="287"/>
      <c r="F7" s="47"/>
      <c r="H7" s="670">
        <f>IF($H$8="N",0,IF($H$3=2025,'Sales Allocations &amp; CCC'!$R$3,'Sales Allocations &amp; CCC'!$R$4))</f>
        <v>-49.36479961202253</v>
      </c>
      <c r="I7" s="44" t="s">
        <v>178</v>
      </c>
      <c r="L7" s="52" t="s">
        <v>153</v>
      </c>
      <c r="M7" s="164">
        <f>IF($D$3="ALL",SUMPRODUCT('Hypothetical Res Bill Impact'!Q22:Q25,'Hypothetical Res Bill Impact'!U22:U25),VLOOKUP($D$3,'Hypothetical Res Bill Impact'!$P$22:$V$25,2,FALSE))</f>
        <v>342.91891800000002</v>
      </c>
      <c r="N7" s="165">
        <f>IF($D$3="ALL",SUMPRODUCT('Hypothetical Res Bill Impact'!R22:R25,'Hypothetical Res Bill Impact'!U22:U25),VLOOKUP(D$3,'Hypothetical Res Bill Impact'!$P$22:$V$25,3,FALSE))</f>
        <v>303.58623299999999</v>
      </c>
      <c r="O7" s="164">
        <f>IF($D$3="ALL",SUMPRODUCT('Hypothetical Res Bill Impact'!Q31:Q34,'Hypothetical Res Bill Impact'!U31:U34),VLOOKUP($D$3,'Hypothetical Res Bill Impact'!$P$31:$V$34,2,FALSE))</f>
        <v>293.18844799999999</v>
      </c>
      <c r="P7" s="165">
        <f>IF($D$3="ALL",SUMPRODUCT('Hypothetical Res Bill Impact'!R31:R34,'Hypothetical Res Bill Impact'!U31:U34),VLOOKUP(D$3,'Hypothetical Res Bill Impact'!$P$31:$V$34,3,FALSE))</f>
        <v>272.42403400000001</v>
      </c>
    </row>
    <row r="8" spans="2:18">
      <c r="C8" s="189" t="s">
        <v>59</v>
      </c>
      <c r="D8" s="287"/>
      <c r="F8" s="47"/>
      <c r="G8" s="51" t="s">
        <v>461</v>
      </c>
      <c r="H8" s="665" t="s">
        <v>26</v>
      </c>
      <c r="I8" s="44"/>
      <c r="L8" s="52" t="s">
        <v>154</v>
      </c>
      <c r="M8" s="165">
        <f>IF($D$3="ALL",SUMPRODUCT('Hypothetical Res Bill Impact'!S22:S25,'Hypothetical Res Bill Impact'!V22:V25),VLOOKUP($D$3,'Hypothetical Res Bill Impact'!$P$22:$V$25,4,FALSE))</f>
        <v>335.11797200000001</v>
      </c>
      <c r="N8" s="165">
        <f>IF($D$3="ALL",SUMPRODUCT('Hypothetical Res Bill Impact'!T22:T25,'Hypothetical Res Bill Impact'!V22:V25),VLOOKUP($D$3,'Hypothetical Res Bill Impact'!$P$22:$V$25,5,FALSE))</f>
        <v>296.54197699999997</v>
      </c>
      <c r="O8" s="165">
        <f>IF($D$3="ALL",SUMPRODUCT('Hypothetical Res Bill Impact'!S31:S34,'Hypothetical Res Bill Impact'!V31:V34),VLOOKUP($D$3,'Hypothetical Res Bill Impact'!$P$31:$V$34,4,FALSE))</f>
        <v>300.67371600000001</v>
      </c>
      <c r="P8" s="165">
        <f>IF($D$3="ALL",SUMPRODUCT('Hypothetical Res Bill Impact'!T31:T34,'Hypothetical Res Bill Impact'!V31:V34),VLOOKUP($D$3,'Hypothetical Res Bill Impact'!$P$31:$V$34,5,FALSE))</f>
        <v>283.19878299999999</v>
      </c>
    </row>
    <row r="9" spans="2:18">
      <c r="C9" s="189" t="s">
        <v>5</v>
      </c>
      <c r="D9" s="287"/>
      <c r="F9" s="47"/>
      <c r="G9" s="51" t="s">
        <v>452</v>
      </c>
      <c r="H9" s="671">
        <v>400</v>
      </c>
      <c r="I9" s="44"/>
    </row>
    <row r="10" spans="2:18">
      <c r="C10" s="189" t="s">
        <v>98</v>
      </c>
      <c r="D10" s="287"/>
      <c r="F10" s="548" t="s">
        <v>453</v>
      </c>
      <c r="G10" s="548"/>
      <c r="J10" s="44"/>
      <c r="L10" s="44"/>
      <c r="Q10" s="44"/>
    </row>
    <row r="11" spans="2:18">
      <c r="C11" s="189" t="s">
        <v>14</v>
      </c>
      <c r="D11" s="287"/>
      <c r="F11" s="548"/>
      <c r="G11" s="548"/>
    </row>
    <row r="12" spans="2:18">
      <c r="C12" s="189" t="s">
        <v>80</v>
      </c>
      <c r="D12" s="287"/>
      <c r="E12" s="47"/>
      <c r="F12" s="548"/>
      <c r="G12" s="548"/>
      <c r="M12" s="44"/>
    </row>
    <row r="13" spans="2:18">
      <c r="C13" s="190" t="s">
        <v>100</v>
      </c>
      <c r="D13" s="287"/>
      <c r="E13" s="47"/>
      <c r="J13" s="283"/>
      <c r="L13" s="44"/>
      <c r="M13" s="44"/>
      <c r="R13" s="44"/>
    </row>
    <row r="14" spans="2:18">
      <c r="C14" s="189" t="s">
        <v>97</v>
      </c>
      <c r="D14" s="287"/>
      <c r="E14" s="47"/>
      <c r="L14" s="44"/>
      <c r="M14" s="44"/>
      <c r="R14" s="44"/>
    </row>
    <row r="15" spans="2:18">
      <c r="C15" s="189" t="s">
        <v>256</v>
      </c>
      <c r="D15" s="287"/>
      <c r="E15" s="47"/>
      <c r="L15" s="44"/>
      <c r="M15" s="44"/>
      <c r="R15" s="44"/>
    </row>
    <row r="16" spans="2:18">
      <c r="C16" s="189" t="s">
        <v>10</v>
      </c>
      <c r="D16" s="287"/>
      <c r="E16" s="47"/>
      <c r="L16" s="44"/>
      <c r="M16" s="44"/>
      <c r="R16" s="44"/>
    </row>
    <row r="17" spans="2:19">
      <c r="C17" s="189" t="s">
        <v>87</v>
      </c>
      <c r="D17" s="287"/>
      <c r="E17" s="47"/>
      <c r="F17" s="44"/>
      <c r="K17" s="44"/>
      <c r="L17" s="44"/>
    </row>
    <row r="18" spans="2:19" ht="15.45" customHeight="1">
      <c r="C18" s="189" t="s">
        <v>225</v>
      </c>
      <c r="D18" s="287"/>
      <c r="E18" s="47"/>
      <c r="F18" s="44"/>
      <c r="K18" s="44"/>
      <c r="L18" s="44"/>
    </row>
    <row r="19" spans="2:19">
      <c r="C19" s="189" t="s">
        <v>78</v>
      </c>
      <c r="D19" s="288"/>
      <c r="E19" s="47"/>
      <c r="F19" s="44"/>
      <c r="K19" s="44"/>
      <c r="L19" s="44"/>
    </row>
    <row r="20" spans="2:19">
      <c r="B20"/>
      <c r="C20" s="27" t="s">
        <v>113</v>
      </c>
      <c r="D20" s="191">
        <f>SUM(D6:D19)</f>
        <v>0</v>
      </c>
      <c r="E20" s="47"/>
      <c r="F20" s="44"/>
      <c r="K20" s="44"/>
      <c r="L20" s="44"/>
    </row>
    <row r="21" spans="2:19">
      <c r="B21"/>
      <c r="D21" s="47"/>
      <c r="E21" s="47"/>
      <c r="F21" s="44"/>
      <c r="J21" s="51"/>
      <c r="K21" s="44"/>
      <c r="L21" s="44"/>
    </row>
    <row r="22" spans="2:19">
      <c r="B22" s="42"/>
      <c r="C22" s="192"/>
      <c r="D22" s="192"/>
      <c r="I22" s="44"/>
      <c r="L22" s="44"/>
    </row>
    <row r="23" spans="2:19">
      <c r="B23" s="40" t="s">
        <v>137</v>
      </c>
    </row>
    <row r="24" spans="2:19" ht="15" thickBot="1">
      <c r="D24" s="53" t="s">
        <v>138</v>
      </c>
      <c r="E24" s="53" t="s">
        <v>139</v>
      </c>
      <c r="F24" s="53" t="s">
        <v>140</v>
      </c>
      <c r="G24" s="53" t="s">
        <v>219</v>
      </c>
      <c r="H24" s="193" t="s">
        <v>220</v>
      </c>
      <c r="I24" s="53"/>
      <c r="M24" s="53" t="s">
        <v>138</v>
      </c>
      <c r="N24" s="53" t="s">
        <v>139</v>
      </c>
      <c r="O24" s="53" t="s">
        <v>140</v>
      </c>
      <c r="P24" s="53" t="s">
        <v>219</v>
      </c>
      <c r="Q24" s="193" t="s">
        <v>220</v>
      </c>
      <c r="R24" s="53"/>
      <c r="S24" s="53"/>
    </row>
    <row r="25" spans="2:19">
      <c r="B25" s="672" t="s">
        <v>145</v>
      </c>
      <c r="C25" s="673"/>
      <c r="D25" s="673"/>
      <c r="E25" s="673"/>
      <c r="F25" s="673"/>
      <c r="G25" s="673"/>
      <c r="H25" s="674"/>
      <c r="I25" s="675"/>
      <c r="J25" s="643"/>
      <c r="K25" s="672" t="s">
        <v>146</v>
      </c>
      <c r="L25" s="673"/>
      <c r="M25" s="673"/>
      <c r="N25" s="673"/>
      <c r="O25" s="673"/>
      <c r="P25" s="673"/>
      <c r="Q25" s="674"/>
      <c r="R25" s="194"/>
      <c r="S25" s="40"/>
    </row>
    <row r="26" spans="2:19" ht="28.8">
      <c r="B26" s="676" t="s">
        <v>147</v>
      </c>
      <c r="C26" s="677"/>
      <c r="D26" s="678" t="str">
        <f>Summary!D31</f>
        <v>6/1/2025</v>
      </c>
      <c r="E26" s="678" t="str">
        <f>Summary!E31</f>
        <v>10/1/25</v>
      </c>
      <c r="F26" s="678" t="s">
        <v>178</v>
      </c>
      <c r="G26" s="678" t="str">
        <f>Summary!H31</f>
        <v>% Change over 6/1/2025</v>
      </c>
      <c r="H26" s="678" t="str">
        <f>Summary!I31</f>
        <v>% Change over 10/1/25</v>
      </c>
      <c r="I26" s="679"/>
      <c r="J26" s="680"/>
      <c r="K26" s="681" t="s">
        <v>147</v>
      </c>
      <c r="L26" s="682"/>
      <c r="M26" s="683" t="str">
        <f>$D$26</f>
        <v>6/1/2025</v>
      </c>
      <c r="N26" s="683" t="str">
        <f>$E$26</f>
        <v>10/1/25</v>
      </c>
      <c r="O26" s="604" t="s">
        <v>178</v>
      </c>
      <c r="P26" s="684" t="str">
        <f>G26</f>
        <v>% Change over 6/1/2025</v>
      </c>
      <c r="Q26" s="685" t="str">
        <f>$H$26</f>
        <v>% Change over 10/1/25</v>
      </c>
      <c r="R26" s="195"/>
      <c r="S26" s="196"/>
    </row>
    <row r="27" spans="2:19">
      <c r="B27" s="686" t="s">
        <v>149</v>
      </c>
      <c r="C27" s="687"/>
      <c r="D27" s="602">
        <f>IF($H$8="Y",'Hypothetical SAR and RAR'!Z31,'Hypothetical SAR and RAR'!AB31)</f>
        <v>37.777000000000001</v>
      </c>
      <c r="E27" s="602">
        <f>IF($H$8="Y",'Hypothetical SAR and RAR'!AA31,'Hypothetical SAR and RAR'!AC31)</f>
        <v>37.26</v>
      </c>
      <c r="F27" s="602">
        <f>'Hypothetical SAR and RAR'!H29</f>
        <v>37.26</v>
      </c>
      <c r="G27" s="688">
        <f t="shared" ref="G27:H29" si="0">$F27/D27-1</f>
        <v>-1.3685575879503475E-2</v>
      </c>
      <c r="H27" s="689">
        <f t="shared" si="0"/>
        <v>0</v>
      </c>
      <c r="I27" s="690"/>
      <c r="J27" s="691"/>
      <c r="K27" s="686" t="s">
        <v>150</v>
      </c>
      <c r="L27" s="692"/>
      <c r="M27" s="602">
        <f>Summary!N32</f>
        <v>36.311815973627034</v>
      </c>
      <c r="N27" s="693">
        <f>'Hypothetical SAR and RAR'!Q29</f>
        <v>35.794815973627038</v>
      </c>
      <c r="O27" s="693">
        <f>'Hypothetical SAR and RAR'!R29</f>
        <v>35.794815973627038</v>
      </c>
      <c r="P27" s="58">
        <f>O27/M27-1</f>
        <v>-1.4237789714937055E-2</v>
      </c>
      <c r="Q27" s="689">
        <f>$O27/N27-1</f>
        <v>0</v>
      </c>
      <c r="R27" s="481"/>
      <c r="S27" s="482"/>
    </row>
    <row r="28" spans="2:19">
      <c r="B28" s="694"/>
      <c r="C28" s="695" t="s">
        <v>426</v>
      </c>
      <c r="D28" s="603">
        <f>IF($H$8="Y",'Hypoth. SAR and RAR (TOU-A)'!W30,'Hypoth. SAR and RAR (TOU-A)'!Y30)</f>
        <v>37.375</v>
      </c>
      <c r="E28" s="603">
        <f>IF($H$8="Y",'Hypoth. SAR and RAR (TOU-A)'!X30,'Hypoth. SAR and RAR (TOU-A)'!Z30)</f>
        <v>37.106000000000002</v>
      </c>
      <c r="F28" s="603">
        <f>'Hypoth. SAR and RAR (TOU-A)'!H29</f>
        <v>37.106000000000002</v>
      </c>
      <c r="G28" s="688">
        <f t="shared" si="0"/>
        <v>-7.1973244147156556E-3</v>
      </c>
      <c r="H28" s="689">
        <f t="shared" si="0"/>
        <v>0</v>
      </c>
      <c r="I28" s="690"/>
      <c r="J28" s="691"/>
      <c r="K28" s="694"/>
      <c r="L28" s="695" t="s">
        <v>426</v>
      </c>
      <c r="M28" s="603">
        <f>Summary!N33</f>
        <v>36.406671999002874</v>
      </c>
      <c r="N28" s="696">
        <f>'Hypoth. SAR and RAR (TOU-A)'!Q29</f>
        <v>36.137671999002876</v>
      </c>
      <c r="O28" s="696">
        <f>'Hypoth. SAR and RAR (TOU-A)'!R29</f>
        <v>36.137671999002876</v>
      </c>
      <c r="P28" s="58">
        <f>O28/M28-1</f>
        <v>-7.3887555557774487E-3</v>
      </c>
      <c r="Q28" s="689">
        <f>$O28/N28-1</f>
        <v>0</v>
      </c>
      <c r="R28" s="481"/>
      <c r="S28" s="482"/>
    </row>
    <row r="29" spans="2:19" ht="15" thickBot="1">
      <c r="B29" s="697" t="s">
        <v>151</v>
      </c>
      <c r="C29" s="698"/>
      <c r="D29" s="699">
        <f>IF($H$8="Y",'Hypothetical SAR and RAR'!Z32,'Hypothetical SAR and RAR'!AB32)</f>
        <v>35.430999999999997</v>
      </c>
      <c r="E29" s="699">
        <f>IF($H$8="Y",'Hypothetical SAR and RAR'!AA32,'Hypothetical SAR and RAR'!AC32)</f>
        <v>35.117000000000004</v>
      </c>
      <c r="F29" s="699">
        <f>'Hypothetical SAR and RAR'!H30</f>
        <v>35.117000000000004</v>
      </c>
      <c r="G29" s="272">
        <f t="shared" si="0"/>
        <v>-8.8622957297279648E-3</v>
      </c>
      <c r="H29" s="700">
        <f t="shared" si="0"/>
        <v>0</v>
      </c>
      <c r="I29" s="690"/>
      <c r="J29" s="691"/>
      <c r="K29" s="697" t="s">
        <v>152</v>
      </c>
      <c r="L29" s="701"/>
      <c r="M29" s="699">
        <f>Summary!N34</f>
        <v>34.280275336408138</v>
      </c>
      <c r="N29" s="702">
        <f>'Hypothetical SAR and RAR'!Q30</f>
        <v>33.966275336408145</v>
      </c>
      <c r="O29" s="702">
        <f>'Hypothetical SAR and RAR'!R30</f>
        <v>33.966275336408145</v>
      </c>
      <c r="P29" s="61">
        <f>O29/M29-1</f>
        <v>-9.1597864054056011E-3</v>
      </c>
      <c r="Q29" s="703">
        <f>$O29/N29-1</f>
        <v>0</v>
      </c>
      <c r="R29" s="481"/>
      <c r="S29" s="482"/>
    </row>
    <row r="30" spans="2:19">
      <c r="B30" s="643"/>
      <c r="C30" s="643"/>
      <c r="D30" s="643"/>
      <c r="E30" s="704"/>
      <c r="F30" s="704"/>
      <c r="G30" s="704"/>
      <c r="H30" s="643"/>
      <c r="I30" s="643"/>
      <c r="J30" s="643"/>
      <c r="K30" s="643"/>
      <c r="L30" s="643"/>
      <c r="M30" s="643"/>
      <c r="N30" s="704"/>
      <c r="O30" s="704"/>
      <c r="P30" s="704"/>
      <c r="Q30" s="643"/>
    </row>
    <row r="31" spans="2:19" ht="15" thickBot="1">
      <c r="B31" s="643"/>
      <c r="C31" s="643"/>
      <c r="D31" s="643"/>
      <c r="E31" s="704"/>
      <c r="F31" s="704"/>
      <c r="G31" s="704"/>
      <c r="H31" s="643"/>
      <c r="I31" s="643"/>
      <c r="J31" s="643"/>
      <c r="K31" s="643"/>
      <c r="L31" s="643"/>
      <c r="M31" s="643"/>
      <c r="N31" s="704"/>
      <c r="O31" s="704"/>
      <c r="P31" s="704"/>
      <c r="Q31" s="643"/>
    </row>
    <row r="32" spans="2:19">
      <c r="B32" s="705" t="s">
        <v>284</v>
      </c>
      <c r="C32" s="706"/>
      <c r="D32" s="706"/>
      <c r="E32" s="706"/>
      <c r="F32" s="706"/>
      <c r="G32" s="706"/>
      <c r="H32" s="707"/>
      <c r="I32" s="708"/>
      <c r="J32" s="643"/>
      <c r="K32" s="705" t="s">
        <v>287</v>
      </c>
      <c r="L32" s="706"/>
      <c r="M32" s="706"/>
      <c r="N32" s="706"/>
      <c r="O32" s="706"/>
      <c r="P32" s="706"/>
      <c r="Q32" s="707"/>
    </row>
    <row r="33" spans="2:19" ht="28.8">
      <c r="B33" s="709"/>
      <c r="C33" s="710"/>
      <c r="D33" s="678" t="str">
        <f>$D$26</f>
        <v>6/1/2025</v>
      </c>
      <c r="E33" s="678" t="str">
        <f>$E$26</f>
        <v>10/1/25</v>
      </c>
      <c r="F33" s="678" t="str">
        <f>$F$26</f>
        <v>Proposed</v>
      </c>
      <c r="G33" s="684" t="str">
        <f>$G$26</f>
        <v>% Change over 6/1/2025</v>
      </c>
      <c r="H33" s="685" t="str">
        <f>$H$26</f>
        <v>% Change over 10/1/25</v>
      </c>
      <c r="I33" s="711"/>
      <c r="J33" s="643"/>
      <c r="K33" s="709"/>
      <c r="L33" s="710"/>
      <c r="M33" s="678" t="str">
        <f>$D$26</f>
        <v>6/1/2025</v>
      </c>
      <c r="N33" s="678" t="str">
        <f>$E$26</f>
        <v>10/1/25</v>
      </c>
      <c r="O33" s="678" t="str">
        <f>$F$26</f>
        <v>Proposed</v>
      </c>
      <c r="P33" s="684" t="str">
        <f>$G$26</f>
        <v>% Change over 6/1/2025</v>
      </c>
      <c r="Q33" s="712" t="str">
        <f>$H$26</f>
        <v>% Change over 10/1/25</v>
      </c>
    </row>
    <row r="34" spans="2:19">
      <c r="B34" s="713" t="s">
        <v>153</v>
      </c>
      <c r="C34" s="714"/>
      <c r="D34" s="605">
        <f>((D40*5)+(D46*7)+(H6*2))/12</f>
        <v>122.73307170168799</v>
      </c>
      <c r="E34" s="605">
        <f>((E40*5)+(E46*7)+(H6*2))/12</f>
        <v>130.1564683974515</v>
      </c>
      <c r="F34" s="715">
        <f>((F40*5)+(F46*7)+(H7*2))/12</f>
        <v>135.49187755800551</v>
      </c>
      <c r="G34" s="268">
        <f t="shared" ref="G34:H36" si="1">$F34/D34-1</f>
        <v>0.10395572830873778</v>
      </c>
      <c r="H34" s="716">
        <f t="shared" si="1"/>
        <v>4.0992270505231909E-2</v>
      </c>
      <c r="I34" s="690"/>
      <c r="J34" s="691"/>
      <c r="K34" s="713" t="s">
        <v>153</v>
      </c>
      <c r="L34" s="714"/>
      <c r="M34" s="605">
        <f>((M40*5)+(M46*7)+(H6*2))/12</f>
        <v>108.83479289393846</v>
      </c>
      <c r="N34" s="605">
        <f>((N40*5)+(N46*7)+(H6*2))/12</f>
        <v>117.92782529259067</v>
      </c>
      <c r="O34" s="715">
        <f>((O40*5)+(O46*7)+(H7*2))/12</f>
        <v>123.26323445314468</v>
      </c>
      <c r="P34" s="268">
        <f t="shared" ref="P34:Q36" si="2">$O34/M34-1</f>
        <v>0.1325719576943285</v>
      </c>
      <c r="Q34" s="269">
        <f t="shared" si="2"/>
        <v>4.5243004755801453E-2</v>
      </c>
      <c r="R34" s="481"/>
      <c r="S34" s="482"/>
    </row>
    <row r="35" spans="2:19">
      <c r="B35" s="713" t="s">
        <v>154</v>
      </c>
      <c r="C35" s="714"/>
      <c r="D35" s="605">
        <f>((D41*5)+(D47*7)+(H6*2))/12</f>
        <v>69.370839363084727</v>
      </c>
      <c r="E35" s="605">
        <f>((E41*5)+(E47*7)+(H6*2))/12</f>
        <v>67.381524370524716</v>
      </c>
      <c r="F35" s="715">
        <f>((F41*5)+(F47*7)+(H7*2))/12</f>
        <v>72.716933531078723</v>
      </c>
      <c r="G35" s="268">
        <f t="shared" si="1"/>
        <v>4.8234880804608027E-2</v>
      </c>
      <c r="H35" s="717">
        <f t="shared" si="1"/>
        <v>7.9182078624625563E-2</v>
      </c>
      <c r="I35" s="690"/>
      <c r="J35" s="691"/>
      <c r="K35" s="713" t="s">
        <v>154</v>
      </c>
      <c r="L35" s="714"/>
      <c r="M35" s="605">
        <f>((M41*5)+(M47*7)+(H6*2))/12</f>
        <v>65.458104287149723</v>
      </c>
      <c r="N35" s="605">
        <f>((N41*5)+(N47*7)+(H6*2))/12</f>
        <v>63.792491662009745</v>
      </c>
      <c r="O35" s="715">
        <f>((O41*5)+(O47*7)+(H7*2))/12</f>
        <v>69.127900822563745</v>
      </c>
      <c r="P35" s="268">
        <f t="shared" si="2"/>
        <v>5.6063287737687428E-2</v>
      </c>
      <c r="Q35" s="266">
        <f t="shared" si="2"/>
        <v>8.3636945689823161E-2</v>
      </c>
      <c r="R35" s="481"/>
      <c r="S35" s="482"/>
    </row>
    <row r="36" spans="2:19" ht="15" thickBot="1">
      <c r="B36" s="697" t="s">
        <v>113</v>
      </c>
      <c r="C36" s="698"/>
      <c r="D36" s="606">
        <f>((D42*5)+(D48*7)+(H6*2))/12</f>
        <v>110.81697094978909</v>
      </c>
      <c r="E36" s="606">
        <f>((E42*5)+(E48*7)+(H6*2))/12</f>
        <v>116.13845369047432</v>
      </c>
      <c r="F36" s="718">
        <f>((F42*5)+(F48*7)+(H7*2))/12</f>
        <v>121.47386285102834</v>
      </c>
      <c r="G36" s="270">
        <f t="shared" si="1"/>
        <v>9.61666052582133E-2</v>
      </c>
      <c r="H36" s="719">
        <f t="shared" si="1"/>
        <v>4.5940074032444489E-2</v>
      </c>
      <c r="I36" s="690"/>
      <c r="J36" s="691"/>
      <c r="K36" s="697" t="s">
        <v>113</v>
      </c>
      <c r="L36" s="698"/>
      <c r="M36" s="606">
        <f>((M42*5)+(M48*7)+(H6*2))/12</f>
        <v>99.148522866057377</v>
      </c>
      <c r="N36" s="606">
        <f>((N42*5)+(N48*7)+(H6*2))/12</f>
        <v>105.83908646910264</v>
      </c>
      <c r="O36" s="718">
        <f>((O42*5)+(O48*7)+(H7*2))/12</f>
        <v>111.17449562965665</v>
      </c>
      <c r="P36" s="270">
        <f t="shared" si="2"/>
        <v>0.12129250558624571</v>
      </c>
      <c r="Q36" s="271">
        <f t="shared" si="2"/>
        <v>5.0410574567001376E-2</v>
      </c>
      <c r="R36" s="481"/>
      <c r="S36" s="482"/>
    </row>
    <row r="37" spans="2:19" ht="15" thickBot="1">
      <c r="B37" s="643"/>
      <c r="C37" s="643"/>
      <c r="D37" s="720"/>
      <c r="E37" s="720"/>
      <c r="F37" s="720"/>
      <c r="G37" s="720"/>
      <c r="H37" s="643"/>
      <c r="I37" s="721"/>
      <c r="J37" s="643"/>
      <c r="K37" s="643"/>
      <c r="L37" s="643"/>
      <c r="M37" s="643"/>
      <c r="N37" s="643"/>
      <c r="O37" s="643"/>
      <c r="P37" s="643"/>
      <c r="Q37" s="643"/>
    </row>
    <row r="38" spans="2:19">
      <c r="B38" s="705" t="s">
        <v>285</v>
      </c>
      <c r="C38" s="706"/>
      <c r="D38" s="706"/>
      <c r="E38" s="706"/>
      <c r="F38" s="706"/>
      <c r="G38" s="706"/>
      <c r="H38" s="707"/>
      <c r="I38" s="708"/>
      <c r="J38" s="643"/>
      <c r="K38" s="705" t="s">
        <v>288</v>
      </c>
      <c r="L38" s="706"/>
      <c r="M38" s="706"/>
      <c r="N38" s="706"/>
      <c r="O38" s="706"/>
      <c r="P38" s="706"/>
      <c r="Q38" s="707"/>
    </row>
    <row r="39" spans="2:19" ht="28.8">
      <c r="B39" s="709"/>
      <c r="C39" s="710"/>
      <c r="D39" s="678" t="str">
        <f>D33</f>
        <v>6/1/2025</v>
      </c>
      <c r="E39" s="678" t="str">
        <f>E26</f>
        <v>10/1/25</v>
      </c>
      <c r="F39" s="678" t="str">
        <f>F26</f>
        <v>Proposed</v>
      </c>
      <c r="G39" s="684" t="str">
        <f>G26</f>
        <v>% Change over 6/1/2025</v>
      </c>
      <c r="H39" s="685" t="str">
        <f>$H$26</f>
        <v>% Change over 10/1/25</v>
      </c>
      <c r="I39" s="711"/>
      <c r="J39" s="643"/>
      <c r="K39" s="709"/>
      <c r="L39" s="710"/>
      <c r="M39" s="678" t="str">
        <f>M33</f>
        <v>6/1/2025</v>
      </c>
      <c r="N39" s="678" t="str">
        <f>N26</f>
        <v>10/1/25</v>
      </c>
      <c r="O39" s="678" t="str">
        <f>O26</f>
        <v>Proposed</v>
      </c>
      <c r="P39" s="684" t="str">
        <f>P26</f>
        <v>% Change over 6/1/2025</v>
      </c>
      <c r="Q39" s="712" t="str">
        <f>$H$26</f>
        <v>% Change over 10/1/25</v>
      </c>
    </row>
    <row r="40" spans="2:19">
      <c r="B40" s="713" t="s">
        <v>153</v>
      </c>
      <c r="C40" s="714"/>
      <c r="D40" s="605">
        <f>IF($D$3="All",'Hypothetical Res Bill Impact'!$C$47,(VLOOKUP($D$3,'Hypothetical Res Bill Impact'!$B$43:$J$46,2,FALSE)))</f>
        <v>146.06916317517758</v>
      </c>
      <c r="E40" s="605">
        <f>IF($D$3="All",'Hypothetical Res Bill Impact'!$E$47,(VLOOKUP($D$3,'Hypothetical Res Bill Impact'!$B$43:$J$46,4,FALSE)))</f>
        <v>152.3180537905441</v>
      </c>
      <c r="F40" s="715">
        <f>IF($D$3="All",'Hypothetical Res Bill Impact'!$G$47,(VLOOKUP($D$3,'Hypothetical Res Bill Impact'!$B$43:$J$46,6,FALSE)))</f>
        <v>152.3180537905441</v>
      </c>
      <c r="G40" s="268">
        <f t="shared" ref="G40:H42" si="3">$F40/D40-1</f>
        <v>4.278035472738595E-2</v>
      </c>
      <c r="H40" s="717">
        <f t="shared" si="3"/>
        <v>0</v>
      </c>
      <c r="I40" s="690"/>
      <c r="J40" s="691"/>
      <c r="K40" s="713" t="s">
        <v>153</v>
      </c>
      <c r="L40" s="714"/>
      <c r="M40" s="605">
        <f>IF($D$3="All",'Hypothetical Res Bill Impact'!$L$47,(VLOOKUP($D$3,'Hypothetical Res Bill Impact'!$K$43:$Q$46,2,FALSE)))</f>
        <v>131.29661075776258</v>
      </c>
      <c r="N40" s="605">
        <f>IF($D$3="All",'Hypothetical Res Bill Impact'!$N$47,(VLOOKUP($D$3,'Hypothetical Res Bill Impact'!$K$43:$Q$46,4,FALSE)))</f>
        <v>139.31935818229033</v>
      </c>
      <c r="O40" s="715">
        <f>IF($D$3="All",'Hypothetical Res Bill Impact'!$P$47,(VLOOKUP($D$3,'Hypothetical Res Bill Impact'!$K$43:$Q$46,6,FALSE)))</f>
        <v>139.31935818229033</v>
      </c>
      <c r="P40" s="268">
        <f t="shared" ref="P40:Q42" si="4">$O40/M40-1</f>
        <v>6.1103994826869013E-2</v>
      </c>
      <c r="Q40" s="269">
        <f t="shared" si="4"/>
        <v>0</v>
      </c>
      <c r="R40" s="481"/>
      <c r="S40" s="482"/>
    </row>
    <row r="41" spans="2:19">
      <c r="B41" s="713" t="s">
        <v>154</v>
      </c>
      <c r="C41" s="714"/>
      <c r="D41" s="605">
        <f>IF($D$3="All",'Hypothetical Res Bill Impact'!$C$57,(VLOOKUP($D$3,'Hypothetical Res Bill Impact'!$B$53:$J$56,2,FALSE)))</f>
        <v>88.90344679188</v>
      </c>
      <c r="E41" s="605">
        <f>IF($D$3="All",'Hypothetical Res Bill Impact'!$E$57,(VLOOKUP($D$3,'Hypothetical Res Bill Impact'!$B$53:$J$56,4,FALSE)))</f>
        <v>86.345264459719999</v>
      </c>
      <c r="F41" s="715">
        <f>IF($D$3="All",'Hypothetical Res Bill Impact'!$G$57,(VLOOKUP($D$3,'Hypothetical Res Bill Impact'!$B$53:$J$56,6,FALSE)))</f>
        <v>86.345264459719985</v>
      </c>
      <c r="G41" s="268">
        <f t="shared" si="3"/>
        <v>-2.8774838597075303E-2</v>
      </c>
      <c r="H41" s="717">
        <f t="shared" si="3"/>
        <v>0</v>
      </c>
      <c r="I41" s="690"/>
      <c r="J41" s="691"/>
      <c r="K41" s="713" t="s">
        <v>154</v>
      </c>
      <c r="L41" s="714"/>
      <c r="M41" s="605">
        <f>IF($D$3="All",'Hypothetical Res Bill Impact'!$L$57,(VLOOKUP($D$3,'Hypothetical Res Bill Impact'!$K$53:$Q$56,2,FALSE)))</f>
        <v>84.468624920400003</v>
      </c>
      <c r="N41" s="605">
        <f>IF($D$3="All",'Hypothetical Res Bill Impact'!$N$57,(VLOOKUP($D$3,'Hypothetical Res Bill Impact'!$K$53:$Q$56,4,FALSE)))</f>
        <v>82.215085948000009</v>
      </c>
      <c r="O41" s="715">
        <f>IF($D$3="All",'Hypothetical Res Bill Impact'!$P$57,(VLOOKUP($D$3,'Hypothetical Res Bill Impact'!$K$53:$Q$56,6,FALSE)))</f>
        <v>82.215085947999995</v>
      </c>
      <c r="P41" s="268">
        <f t="shared" si="4"/>
        <v>-2.6679006252601556E-2</v>
      </c>
      <c r="Q41" s="266">
        <f t="shared" si="4"/>
        <v>0</v>
      </c>
      <c r="R41" s="481"/>
      <c r="S41" s="482"/>
    </row>
    <row r="42" spans="2:19" ht="15" thickBot="1">
      <c r="B42" s="697" t="s">
        <v>113</v>
      </c>
      <c r="C42" s="698"/>
      <c r="D42" s="606">
        <f>D40*(1-'Hypothetical SAR and RAR'!$AA$17)+D41*'Hypothetical SAR and RAR'!$AA$17</f>
        <v>133.30372203591958</v>
      </c>
      <c r="E42" s="606">
        <f>E40*(1-'Hypothetical SAR and RAR'!$AA$17)+E41*'Hypothetical SAR and RAR'!$AA$17</f>
        <v>137.58594139386702</v>
      </c>
      <c r="F42" s="606">
        <f>F40*(1-'Hypothetical SAR and RAR'!$AA$17)+F41*'Hypothetical SAR and RAR'!$AA$17</f>
        <v>137.58594139386702</v>
      </c>
      <c r="G42" s="272">
        <f t="shared" si="3"/>
        <v>3.2123779385496487E-2</v>
      </c>
      <c r="H42" s="719">
        <f t="shared" si="3"/>
        <v>0</v>
      </c>
      <c r="I42" s="690"/>
      <c r="J42" s="691"/>
      <c r="K42" s="697" t="s">
        <v>113</v>
      </c>
      <c r="L42" s="698"/>
      <c r="M42" s="606">
        <f>M40*(1-'Hypothetical SAR and RAR'!$AA$17)+M41*'Hypothetical SAR and RAR'!$AA$17</f>
        <v>120.83964573227894</v>
      </c>
      <c r="N42" s="606">
        <f>N40*(1-'Hypothetical SAR and RAR'!$AA$17)+N41*'Hypothetical SAR and RAR'!$AA$17</f>
        <v>126.56763788337383</v>
      </c>
      <c r="O42" s="606">
        <f>O40*(1-'Hypothetical SAR and RAR'!$AA$17)+O41*'Hypothetical SAR and RAR'!$AA$17</f>
        <v>126.56763788337383</v>
      </c>
      <c r="P42" s="272">
        <f t="shared" si="4"/>
        <v>4.7401596689428338E-2</v>
      </c>
      <c r="Q42" s="271">
        <f t="shared" si="4"/>
        <v>0</v>
      </c>
      <c r="R42" s="481"/>
      <c r="S42" s="482"/>
    </row>
    <row r="43" spans="2:19" ht="15" thickBot="1">
      <c r="B43" s="643"/>
      <c r="C43" s="643"/>
      <c r="D43" s="643"/>
      <c r="E43" s="643"/>
      <c r="F43" s="643"/>
      <c r="G43" s="643"/>
      <c r="H43" s="643"/>
      <c r="I43" s="721"/>
      <c r="J43" s="643"/>
      <c r="K43" s="643"/>
      <c r="L43" s="643"/>
      <c r="M43" s="643"/>
      <c r="N43" s="643"/>
      <c r="O43" s="643"/>
      <c r="P43" s="643"/>
      <c r="Q43" s="643"/>
    </row>
    <row r="44" spans="2:19">
      <c r="B44" s="705" t="s">
        <v>286</v>
      </c>
      <c r="C44" s="706"/>
      <c r="D44" s="706"/>
      <c r="E44" s="706"/>
      <c r="F44" s="706"/>
      <c r="G44" s="706"/>
      <c r="H44" s="707"/>
      <c r="I44" s="708"/>
      <c r="J44" s="643"/>
      <c r="K44" s="705" t="s">
        <v>293</v>
      </c>
      <c r="L44" s="706"/>
      <c r="M44" s="706"/>
      <c r="N44" s="706"/>
      <c r="O44" s="706"/>
      <c r="P44" s="706"/>
      <c r="Q44" s="707"/>
    </row>
    <row r="45" spans="2:19" ht="28.8">
      <c r="B45" s="709"/>
      <c r="C45" s="710"/>
      <c r="D45" s="678" t="str">
        <f>$D$26</f>
        <v>6/1/2025</v>
      </c>
      <c r="E45" s="678" t="str">
        <f>$E$26</f>
        <v>10/1/25</v>
      </c>
      <c r="F45" s="678" t="str">
        <f>F39</f>
        <v>Proposed</v>
      </c>
      <c r="G45" s="684" t="str">
        <f>G26</f>
        <v>% Change over 6/1/2025</v>
      </c>
      <c r="H45" s="685" t="str">
        <f>$H$26</f>
        <v>% Change over 10/1/25</v>
      </c>
      <c r="I45" s="711"/>
      <c r="J45" s="643"/>
      <c r="K45" s="709"/>
      <c r="L45" s="710"/>
      <c r="M45" s="678" t="str">
        <f>$D$26</f>
        <v>6/1/2025</v>
      </c>
      <c r="N45" s="678" t="str">
        <f>$E$26</f>
        <v>10/1/25</v>
      </c>
      <c r="O45" s="678" t="str">
        <f>O39</f>
        <v>Proposed</v>
      </c>
      <c r="P45" s="684" t="str">
        <f>P26</f>
        <v>% Change over 6/1/2025</v>
      </c>
      <c r="Q45" s="712" t="str">
        <f>$H$26</f>
        <v>% Change over 10/1/25</v>
      </c>
    </row>
    <row r="46" spans="2:19">
      <c r="B46" s="713" t="s">
        <v>153</v>
      </c>
      <c r="C46" s="714"/>
      <c r="D46" s="605">
        <f>IF($D$3="All",'Hypothetical Res Bill Impact'!$D$47,(VLOOKUP($D$3,'Hypothetical Res Bill Impact'!$B$43:$J$46,3,FALSE)))</f>
        <v>129.31507909929448</v>
      </c>
      <c r="E46" s="605">
        <f>IF($D$3="All",'Hypothetical Res Bill Impact'!$F$47,(VLOOKUP($D$3,'Hypothetical Res Bill Impact'!$B$43:$J$46,5,FALSE)))</f>
        <v>137.57740870962724</v>
      </c>
      <c r="F46" s="715">
        <f>IF($D$3="All",'Hypothetical Res Bill Impact'!$H$47,(VLOOKUP($D$3,'Hypothetical Res Bill Impact'!$B$43:$J$46,7,FALSE)))</f>
        <v>137.57740870962724</v>
      </c>
      <c r="G46" s="268">
        <f t="shared" ref="G46:H48" si="5">$F46/D46-1</f>
        <v>6.3893009754790731E-2</v>
      </c>
      <c r="H46" s="717">
        <f t="shared" si="5"/>
        <v>0</v>
      </c>
      <c r="I46" s="690"/>
      <c r="J46" s="691"/>
      <c r="K46" s="713" t="s">
        <v>153</v>
      </c>
      <c r="L46" s="714"/>
      <c r="M46" s="605">
        <f>IF($D$3="All",'Hypothetical Res Bill Impact'!$M$47,(VLOOKUP($D$3,'Hypothetical Res Bill Impact'!$K$43:$Q$46,3,FALSE)))</f>
        <v>116.04128144130598</v>
      </c>
      <c r="N46" s="605">
        <f>IF($D$3="All",'Hypothetical Res Bill Impact'!$O$47,(VLOOKUP($D$3,'Hypothetical Res Bill Impact'!$K$43:$Q$46,5,FALSE)))</f>
        <v>125.89880310718995</v>
      </c>
      <c r="O46" s="715">
        <f>IF($D$3="All",'Hypothetical Res Bill Impact'!$Q$47,(VLOOKUP($D$3,'Hypothetical Res Bill Impact'!$K$43:$Q$46,7,FALSE)))</f>
        <v>125.89880310718995</v>
      </c>
      <c r="P46" s="268">
        <f t="shared" ref="P46:Q48" si="6">$O46/M46-1</f>
        <v>8.4948404080404272E-2</v>
      </c>
      <c r="Q46" s="269">
        <f t="shared" si="6"/>
        <v>0</v>
      </c>
      <c r="R46" s="481"/>
      <c r="S46" s="482"/>
    </row>
    <row r="47" spans="2:19">
      <c r="B47" s="713" t="s">
        <v>154</v>
      </c>
      <c r="C47" s="714"/>
      <c r="D47" s="605">
        <f>IF($D$3="All",'Hypothetical Res Bill Impact'!$D$57,(VLOOKUP($D$3,'Hypothetical Res Bill Impact'!$B$53:$J$56,3,FALSE)))</f>
        <v>78.669621078329982</v>
      </c>
      <c r="E47" s="605">
        <f>IF($D$3="All",'Hypothetical Res Bill Impact'!$F$57,(VLOOKUP($D$3,'Hypothetical Res Bill Impact'!$B$53:$J$56,5,FALSE)))</f>
        <v>77.086639899769992</v>
      </c>
      <c r="F47" s="715">
        <f>IF($D$3="All",'Hypothetical Res Bill Impact'!$H$57,(VLOOKUP($D$3,'Hypothetical Res Bill Impact'!$B$53:$J$56,7,FALSE)))</f>
        <v>77.086639899769978</v>
      </c>
      <c r="G47" s="268">
        <f t="shared" si="5"/>
        <v>-2.0121886401154199E-2</v>
      </c>
      <c r="H47" s="717">
        <f t="shared" si="5"/>
        <v>0</v>
      </c>
      <c r="I47" s="690"/>
      <c r="J47" s="691"/>
      <c r="K47" s="713" t="s">
        <v>154</v>
      </c>
      <c r="L47" s="714"/>
      <c r="M47" s="605">
        <f>IF($D$3="All",'Hypothetical Res Bill Impact'!$M$57,(VLOOKUP($D$3,'Hypothetical Res Bill Impact'!$K$53:$Q$56,3,FALSE)))</f>
        <v>75.129805142069998</v>
      </c>
      <c r="N47" s="605">
        <f>IF($D$3="All",'Hypothetical Res Bill Impact'!$O$57,(VLOOKUP($D$3,'Hypothetical Res Bill Impact'!$K$53:$Q$56,5,FALSE)))</f>
        <v>73.884139907830004</v>
      </c>
      <c r="O47" s="715">
        <f>IF($D$3="All",'Hypothetical Res Bill Impact'!$Q$57,(VLOOKUP($D$3,'Hypothetical Res Bill Impact'!$K$53:$Q$56,7,FALSE)))</f>
        <v>73.88413990782999</v>
      </c>
      <c r="P47" s="268">
        <f t="shared" si="6"/>
        <v>-1.6580173898820383E-2</v>
      </c>
      <c r="Q47" s="266">
        <f t="shared" si="6"/>
        <v>0</v>
      </c>
      <c r="R47" s="481"/>
      <c r="S47" s="482"/>
    </row>
    <row r="48" spans="2:19" ht="15" thickBot="1">
      <c r="B48" s="697" t="s">
        <v>113</v>
      </c>
      <c r="C48" s="698"/>
      <c r="D48" s="606">
        <f>D46*(1-'Hypothetical SAR and RAR'!$AA$17)+D47*'Hypothetical SAR and RAR'!$AA$17</f>
        <v>118.0056500526521</v>
      </c>
      <c r="E48" s="606">
        <f>E46*(1-'Hypothetical SAR and RAR'!$AA$17)+E47*'Hypothetical SAR and RAR'!$AA$17</f>
        <v>124.06946378100719</v>
      </c>
      <c r="F48" s="606">
        <f>F46*(1-'Hypothetical SAR and RAR'!$AA$17)+F47*'Hypothetical SAR and RAR'!$AA$17</f>
        <v>124.06946378100719</v>
      </c>
      <c r="G48" s="272">
        <f t="shared" si="5"/>
        <v>5.1385791490911714E-2</v>
      </c>
      <c r="H48" s="719">
        <f t="shared" si="5"/>
        <v>0</v>
      </c>
      <c r="I48" s="690"/>
      <c r="J48" s="691"/>
      <c r="K48" s="697" t="s">
        <v>113</v>
      </c>
      <c r="L48" s="698"/>
      <c r="M48" s="606">
        <f>M46*(1-'Hypothetical SAR and RAR'!$AA$17)+M47*'Hypothetical SAR and RAR'!$AA$17</f>
        <v>106.90550784028389</v>
      </c>
      <c r="N48" s="606">
        <f>N46*(1-'Hypothetical SAR and RAR'!$AA$17)+N47*'Hypothetical SAR and RAR'!$AA$17</f>
        <v>114.28362248043652</v>
      </c>
      <c r="O48" s="606">
        <f>O46*(1-'Hypothetical SAR and RAR'!$AA$17)+O47*'Hypothetical SAR and RAR'!$AA$17</f>
        <v>114.28362248043652</v>
      </c>
      <c r="P48" s="272">
        <f t="shared" si="6"/>
        <v>6.9015290130565399E-2</v>
      </c>
      <c r="Q48" s="271">
        <f t="shared" si="6"/>
        <v>0</v>
      </c>
      <c r="R48" s="481"/>
      <c r="S48" s="482"/>
    </row>
    <row r="49" spans="2:19" ht="15" thickBot="1">
      <c r="B49" s="643"/>
      <c r="C49" s="643"/>
      <c r="D49" s="643"/>
      <c r="E49" s="643"/>
      <c r="F49" s="643"/>
      <c r="G49" s="643"/>
      <c r="H49" s="643"/>
      <c r="I49" s="643"/>
      <c r="J49" s="643"/>
      <c r="K49" s="643"/>
      <c r="L49" s="643"/>
      <c r="M49" s="643"/>
      <c r="N49" s="643"/>
      <c r="O49" s="643"/>
      <c r="P49" s="643"/>
      <c r="Q49" s="643"/>
    </row>
    <row r="50" spans="2:19">
      <c r="B50" s="722" t="s">
        <v>304</v>
      </c>
      <c r="C50" s="723"/>
      <c r="D50" s="723"/>
      <c r="E50" s="723"/>
      <c r="F50" s="723"/>
      <c r="G50" s="723"/>
      <c r="H50" s="724"/>
      <c r="I50" s="643"/>
      <c r="J50" s="643"/>
      <c r="K50" s="722" t="s">
        <v>303</v>
      </c>
      <c r="L50" s="723"/>
      <c r="M50" s="723"/>
      <c r="N50" s="723"/>
      <c r="O50" s="723"/>
      <c r="P50" s="723"/>
      <c r="Q50" s="724"/>
    </row>
    <row r="51" spans="2:19" ht="28.8">
      <c r="B51" s="709"/>
      <c r="C51" s="725"/>
      <c r="D51" s="678" t="str">
        <f>D45</f>
        <v>6/1/2025</v>
      </c>
      <c r="E51" s="726" t="str">
        <f>E45</f>
        <v>10/1/25</v>
      </c>
      <c r="F51" s="684" t="str">
        <f>F45</f>
        <v>Proposed</v>
      </c>
      <c r="G51" s="604" t="str">
        <f>$G$26</f>
        <v>% Change over 6/1/2025</v>
      </c>
      <c r="H51" s="727" t="s">
        <v>148</v>
      </c>
      <c r="I51" s="643"/>
      <c r="J51" s="643"/>
      <c r="K51" s="709"/>
      <c r="L51" s="725"/>
      <c r="M51" s="678" t="str">
        <f>M45</f>
        <v>6/1/2025</v>
      </c>
      <c r="N51" s="726" t="str">
        <f>N45</f>
        <v>10/1/25</v>
      </c>
      <c r="O51" s="684" t="str">
        <f>O45</f>
        <v>Proposed</v>
      </c>
      <c r="P51" s="604" t="str">
        <f>$G$26</f>
        <v>% Change over 6/1/2025</v>
      </c>
      <c r="Q51" s="727" t="s">
        <v>148</v>
      </c>
    </row>
    <row r="52" spans="2:19">
      <c r="B52" s="713" t="s">
        <v>291</v>
      </c>
      <c r="C52" s="728"/>
      <c r="D52" s="605">
        <f>((D58*5)+(D64*7)+(H6*2))/12</f>
        <v>102.93672233897088</v>
      </c>
      <c r="E52" s="605">
        <f>((E58*5)+(E64*7)+(H6*2))/12</f>
        <v>112.73916533677874</v>
      </c>
      <c r="F52" s="605">
        <f>((F58*5)+(F64*7)+(H7*2))/12</f>
        <v>118.07457449733276</v>
      </c>
      <c r="G52" s="66">
        <f t="shared" ref="G52:H54" si="7">$F52/D52-1</f>
        <v>0.14705978405367226</v>
      </c>
      <c r="H52" s="68">
        <f t="shared" si="7"/>
        <v>4.7325249788890078E-2</v>
      </c>
      <c r="I52" s="690"/>
      <c r="J52" s="691"/>
      <c r="K52" s="713" t="s">
        <v>291</v>
      </c>
      <c r="L52" s="728"/>
      <c r="M52" s="605">
        <f>((M58*5)+(M64*7)+(H6*2))/12</f>
        <v>84.159060122118788</v>
      </c>
      <c r="N52" s="605">
        <f>((N58*5)+(N64*7)+(H6*2))/12</f>
        <v>96.218127664155631</v>
      </c>
      <c r="O52" s="605">
        <f>((O58*5)+(O64*7)+(H7*2))/12</f>
        <v>101.55353682470964</v>
      </c>
      <c r="P52" s="268">
        <f t="shared" ref="P52:Q54" si="8">$O52/M52-1</f>
        <v>0.20668572911045624</v>
      </c>
      <c r="Q52" s="269">
        <f t="shared" si="8"/>
        <v>5.5451184616447602E-2</v>
      </c>
      <c r="R52" s="481"/>
      <c r="S52" s="482"/>
    </row>
    <row r="53" spans="2:19">
      <c r="B53" s="713" t="s">
        <v>292</v>
      </c>
      <c r="C53" s="728"/>
      <c r="D53" s="605">
        <f>((D59*5)+(D65*7)+(H6*2))/12</f>
        <v>58.99393923744222</v>
      </c>
      <c r="E53" s="605">
        <f>((E59*5)+(E65*7)+(H6*2))/12</f>
        <v>57.993459237442238</v>
      </c>
      <c r="F53" s="605">
        <f>((F59*5)+(F65*7)+(H7*2))/12</f>
        <v>63.328868397996239</v>
      </c>
      <c r="G53" s="66">
        <f t="shared" si="7"/>
        <v>7.3480923915023588E-2</v>
      </c>
      <c r="H53" s="68">
        <f t="shared" si="7"/>
        <v>9.2000188136894367E-2</v>
      </c>
      <c r="I53" s="690"/>
      <c r="J53" s="691"/>
      <c r="K53" s="713" t="s">
        <v>292</v>
      </c>
      <c r="L53" s="728"/>
      <c r="M53" s="605">
        <f>((M59*5)+(M65*7)+(H6*2))/12</f>
        <v>47.299071737442233</v>
      </c>
      <c r="N53" s="605">
        <f>((N59*5)+(N65*7)+(H6*2))/12</f>
        <v>47.413018404108897</v>
      </c>
      <c r="O53" s="605">
        <f>((O59*5)+(O65*7)+(H7*2))/12</f>
        <v>52.748427564662911</v>
      </c>
      <c r="P53" s="66">
        <f t="shared" si="8"/>
        <v>0.11521062944892702</v>
      </c>
      <c r="Q53" s="68">
        <f t="shared" si="8"/>
        <v>0.11253046821612256</v>
      </c>
      <c r="R53" s="481"/>
      <c r="S53" s="482"/>
    </row>
    <row r="54" spans="2:19" ht="15" thickBot="1">
      <c r="B54" s="697" t="s">
        <v>113</v>
      </c>
      <c r="C54" s="701"/>
      <c r="D54" s="606">
        <f>((D60*5)+(D66*7)+(H6*2))/12</f>
        <v>93.124040076466429</v>
      </c>
      <c r="E54" s="606">
        <f>((E60*5)+(E66*7)+(H6*2))/12</f>
        <v>100.5141267462996</v>
      </c>
      <c r="F54" s="718">
        <f>((F60*5)+(F66*7)+(H7*2))/12</f>
        <v>105.8495359068536</v>
      </c>
      <c r="G54" s="69">
        <f t="shared" si="7"/>
        <v>0.13665102824080622</v>
      </c>
      <c r="H54" s="70">
        <f t="shared" si="7"/>
        <v>5.3081187025787235E-2</v>
      </c>
      <c r="I54" s="690"/>
      <c r="J54" s="691"/>
      <c r="K54" s="697" t="s">
        <v>113</v>
      </c>
      <c r="L54" s="701"/>
      <c r="M54" s="606">
        <f>((M60*5)+(M66*7)+(H6*2))/12</f>
        <v>75.928007633186766</v>
      </c>
      <c r="N54" s="606">
        <f>((N60*5)+(N66*7)+(H6*2))/12</f>
        <v>85.319659334347151</v>
      </c>
      <c r="O54" s="606">
        <f>((O60*5)+(O66*7)+(H7*2))/12</f>
        <v>90.655068494901158</v>
      </c>
      <c r="P54" s="69">
        <f t="shared" si="8"/>
        <v>0.19396084950446468</v>
      </c>
      <c r="Q54" s="70">
        <f t="shared" si="8"/>
        <v>6.253434674001479E-2</v>
      </c>
      <c r="R54" s="481"/>
      <c r="S54" s="482"/>
    </row>
    <row r="55" spans="2:19" ht="15" thickBot="1">
      <c r="B55" s="608"/>
      <c r="C55" s="608"/>
      <c r="D55" s="608"/>
      <c r="E55" s="608"/>
      <c r="F55" s="608"/>
      <c r="G55" s="608"/>
      <c r="H55" s="608"/>
      <c r="I55" s="643"/>
      <c r="J55" s="643"/>
      <c r="K55" s="608"/>
      <c r="L55" s="608"/>
      <c r="M55" s="608"/>
      <c r="N55" s="608"/>
      <c r="O55" s="608"/>
      <c r="P55" s="608"/>
      <c r="Q55" s="608"/>
    </row>
    <row r="56" spans="2:19">
      <c r="B56" s="722" t="s">
        <v>295</v>
      </c>
      <c r="C56" s="723"/>
      <c r="D56" s="723"/>
      <c r="E56" s="723"/>
      <c r="F56" s="723"/>
      <c r="G56" s="723"/>
      <c r="H56" s="724"/>
      <c r="I56" s="643"/>
      <c r="J56" s="643"/>
      <c r="K56" s="722" t="s">
        <v>301</v>
      </c>
      <c r="L56" s="723"/>
      <c r="M56" s="723"/>
      <c r="N56" s="723"/>
      <c r="O56" s="723"/>
      <c r="P56" s="723"/>
      <c r="Q56" s="724"/>
    </row>
    <row r="57" spans="2:19" ht="28.8">
      <c r="B57" s="709"/>
      <c r="C57" s="725"/>
      <c r="D57" s="678" t="str">
        <f>D51</f>
        <v>6/1/2025</v>
      </c>
      <c r="E57" s="726" t="str">
        <f>E51</f>
        <v>10/1/25</v>
      </c>
      <c r="F57" s="684" t="str">
        <f>F51</f>
        <v>Proposed</v>
      </c>
      <c r="G57" s="604" t="str">
        <f>$G$26</f>
        <v>% Change over 6/1/2025</v>
      </c>
      <c r="H57" s="727" t="s">
        <v>148</v>
      </c>
      <c r="I57" s="643"/>
      <c r="J57" s="643"/>
      <c r="K57" s="709"/>
      <c r="L57" s="725"/>
      <c r="M57" s="678" t="str">
        <f>M51</f>
        <v>6/1/2025</v>
      </c>
      <c r="N57" s="726" t="str">
        <f>N51</f>
        <v>10/1/25</v>
      </c>
      <c r="O57" s="684" t="str">
        <f>O51</f>
        <v>Proposed</v>
      </c>
      <c r="P57" s="604" t="str">
        <f>$G$26</f>
        <v>% Change over 6/1/2025</v>
      </c>
      <c r="Q57" s="727" t="s">
        <v>148</v>
      </c>
    </row>
    <row r="58" spans="2:19">
      <c r="B58" s="713" t="s">
        <v>291</v>
      </c>
      <c r="C58" s="728"/>
      <c r="D58" s="605">
        <f>IF($D$3="All",'Hypothetical Res Bill Impact'!C67,(VLOOKUP($D$3,'Hypothetical Res Bill Impact'!$B$63:$J$66,2,FALSE)))</f>
        <v>115.00874401247803</v>
      </c>
      <c r="E58" s="605">
        <f>IF($D$3="All",'Hypothetical Res Bill Impact'!E67,(VLOOKUP($D$3,'Hypothetical Res Bill Impact'!$B$63:$J$66,4,FALSE)))</f>
        <v>124.99035190793732</v>
      </c>
      <c r="F58" s="605">
        <f>IF($D$3="All",'Hypothetical Res Bill Impact'!G67,(VLOOKUP($D$3,'Hypothetical Res Bill Impact'!$B$63:$J$66,6,FALSE)))</f>
        <v>124.99035190793732</v>
      </c>
      <c r="G58" s="66">
        <f t="shared" ref="G58:H60" si="9">$F58/D58-1</f>
        <v>8.6789991327757887E-2</v>
      </c>
      <c r="H58" s="68">
        <f t="shared" si="9"/>
        <v>0</v>
      </c>
      <c r="I58" s="690"/>
      <c r="J58" s="691"/>
      <c r="K58" s="713" t="s">
        <v>291</v>
      </c>
      <c r="L58" s="728"/>
      <c r="M58" s="605">
        <f>IF($D$3="All",'Hypothetical Res Bill Impact'!L67,(VLOOKUP($D$3,'Hypothetical Res Bill Impact'!$K$63:$Q$66,2,FALSE)))</f>
        <v>77.098454319476019</v>
      </c>
      <c r="N58" s="605">
        <f>IF($D$3="All",'Hypothetical Res Bill Impact'!N67,(VLOOKUP($D$3,'Hypothetical Res Bill Impact'!$K$63:$Q$66,4,FALSE)))</f>
        <v>91.635969612357982</v>
      </c>
      <c r="O58" s="605">
        <f>IF($D$3="All",'Hypothetical Res Bill Impact'!P67,(VLOOKUP($D$3,'Hypothetical Res Bill Impact'!$K$63:$Q$66,6,FALSE)))</f>
        <v>91.635969612357982</v>
      </c>
      <c r="P58" s="268">
        <f t="shared" ref="P58:Q60" si="10">$O58/M58-1</f>
        <v>0.18855780470827943</v>
      </c>
      <c r="Q58" s="269">
        <f t="shared" si="10"/>
        <v>0</v>
      </c>
      <c r="R58" s="481"/>
      <c r="S58" s="482"/>
    </row>
    <row r="59" spans="2:19">
      <c r="B59" s="713" t="s">
        <v>292</v>
      </c>
      <c r="C59" s="728"/>
      <c r="D59" s="605">
        <f>IF($D$3="All",'Hypothetical Res Bill Impact'!C77,(VLOOKUP($D$3,'Hypothetical Res Bill Impact'!$B$73:$J$76,2,FALSE)))</f>
        <v>71.628299999999996</v>
      </c>
      <c r="E59" s="605">
        <f>IF($D$3="All",'Hypothetical Res Bill Impact'!E77,(VLOOKUP($D$3,'Hypothetical Res Bill Impact'!$B$73:$J$76,4,FALSE)))</f>
        <v>70.716300000000004</v>
      </c>
      <c r="F59" s="605">
        <f>IF($D$3="All",'Hypothetical Res Bill Impact'!G77,(VLOOKUP($D$3,'Hypothetical Res Bill Impact'!$B$73:$J$76,6,FALSE)))</f>
        <v>70.71629999999999</v>
      </c>
      <c r="G59" s="66">
        <f t="shared" si="9"/>
        <v>-1.2732397669636297E-2</v>
      </c>
      <c r="H59" s="68">
        <f t="shared" si="9"/>
        <v>0</v>
      </c>
      <c r="I59" s="690"/>
      <c r="J59" s="691"/>
      <c r="K59" s="713" t="s">
        <v>292</v>
      </c>
      <c r="L59" s="728"/>
      <c r="M59" s="605">
        <f>IF($D$3="All",'Hypothetical Res Bill Impact'!L77,(VLOOKUP($D$3,'Hypothetical Res Bill Impact'!$K$73:$Q$76,2,FALSE)))</f>
        <v>48.017489999999995</v>
      </c>
      <c r="N59" s="605">
        <f>IF($D$3="All",'Hypothetical Res Bill Impact'!N77,(VLOOKUP($D$3,'Hypothetical Res Bill Impact'!$K$73:$Q$76,4,FALSE)))</f>
        <v>49.355409999999999</v>
      </c>
      <c r="O59" s="605">
        <f>IF($D$3="All",'Hypothetical Res Bill Impact'!P77,(VLOOKUP($D$3,'Hypothetical Res Bill Impact'!$K$73:$Q$76,6,FALSE)))</f>
        <v>49.355409999999992</v>
      </c>
      <c r="P59" s="66">
        <f t="shared" si="10"/>
        <v>2.7863180686870548E-2</v>
      </c>
      <c r="Q59" s="68">
        <f t="shared" si="10"/>
        <v>0</v>
      </c>
      <c r="R59" s="481"/>
      <c r="S59" s="482"/>
    </row>
    <row r="60" spans="2:19" ht="15" thickBot="1">
      <c r="B60" s="697" t="s">
        <v>113</v>
      </c>
      <c r="C60" s="701"/>
      <c r="D60" s="606">
        <f>D58*(1-'Hypothetical SAR and RAR'!$AA$17)+D59*'Hypothetical SAR and RAR'!$AA$17</f>
        <v>105.32163538038952</v>
      </c>
      <c r="E60" s="606">
        <f>E58*(1-'Hypothetical SAR and RAR'!$AA$17)+E59*'Hypothetical SAR and RAR'!$AA$17</f>
        <v>112.87063647615037</v>
      </c>
      <c r="F60" s="606">
        <f>F58*(1-'Hypothetical SAR and RAR'!$AA$17)+F59*'Hypothetical SAR and RAR'!$AA$17</f>
        <v>112.87063647615037</v>
      </c>
      <c r="G60" s="69">
        <f t="shared" si="9"/>
        <v>7.1675691974361744E-2</v>
      </c>
      <c r="H60" s="70">
        <f t="shared" si="9"/>
        <v>0</v>
      </c>
      <c r="I60" s="690"/>
      <c r="J60" s="691"/>
      <c r="K60" s="697" t="s">
        <v>113</v>
      </c>
      <c r="L60" s="701"/>
      <c r="M60" s="606">
        <f>M58*(1-'Hypothetical SAR and RAR'!$AA$17)+M59*'Hypothetical SAR and RAR'!$AA$17</f>
        <v>70.604503717964832</v>
      </c>
      <c r="N60" s="606">
        <f>N58*(1-'Hypothetical SAR and RAR'!$AA$17)+N59*'Hypothetical SAR and RAR'!$AA$17</f>
        <v>82.194471644458105</v>
      </c>
      <c r="O60" s="606">
        <f>O58*(1-'Hypothetical SAR and RAR'!$AA$17)+O59*'Hypothetical SAR and RAR'!$AA$17</f>
        <v>82.194471644458105</v>
      </c>
      <c r="P60" s="69">
        <f t="shared" si="10"/>
        <v>0.16415337997120272</v>
      </c>
      <c r="Q60" s="70">
        <f t="shared" si="10"/>
        <v>0</v>
      </c>
      <c r="R60" s="481"/>
      <c r="S60" s="482"/>
    </row>
    <row r="61" spans="2:19" ht="15" thickBot="1">
      <c r="B61" s="643"/>
      <c r="C61" s="643"/>
      <c r="D61" s="643"/>
      <c r="E61" s="643"/>
      <c r="F61" s="643"/>
      <c r="G61" s="643"/>
      <c r="H61" s="643"/>
      <c r="I61" s="690"/>
      <c r="J61" s="691"/>
      <c r="K61" s="643"/>
      <c r="L61" s="643"/>
      <c r="M61" s="643"/>
      <c r="N61" s="643"/>
      <c r="O61" s="643"/>
      <c r="P61" s="643"/>
      <c r="Q61" s="643"/>
    </row>
    <row r="62" spans="2:19">
      <c r="B62" s="722" t="s">
        <v>294</v>
      </c>
      <c r="C62" s="723"/>
      <c r="D62" s="723"/>
      <c r="E62" s="723"/>
      <c r="F62" s="723"/>
      <c r="G62" s="723"/>
      <c r="H62" s="724"/>
      <c r="I62" s="643"/>
      <c r="J62" s="643"/>
      <c r="K62" s="722" t="s">
        <v>302</v>
      </c>
      <c r="L62" s="723"/>
      <c r="M62" s="723"/>
      <c r="N62" s="723"/>
      <c r="O62" s="723"/>
      <c r="P62" s="723"/>
      <c r="Q62" s="724"/>
    </row>
    <row r="63" spans="2:19" ht="28.8">
      <c r="B63" s="709"/>
      <c r="C63" s="725"/>
      <c r="D63" s="678" t="str">
        <f>D57</f>
        <v>6/1/2025</v>
      </c>
      <c r="E63" s="726" t="str">
        <f>E57</f>
        <v>10/1/25</v>
      </c>
      <c r="F63" s="684" t="str">
        <f>F57</f>
        <v>Proposed</v>
      </c>
      <c r="G63" s="604" t="str">
        <f>$G$26</f>
        <v>% Change over 6/1/2025</v>
      </c>
      <c r="H63" s="727" t="s">
        <v>148</v>
      </c>
      <c r="I63" s="643"/>
      <c r="J63" s="643"/>
      <c r="K63" s="709"/>
      <c r="L63" s="725"/>
      <c r="M63" s="678" t="str">
        <f>M57</f>
        <v>6/1/2025</v>
      </c>
      <c r="N63" s="726" t="str">
        <f>N57</f>
        <v>10/1/25</v>
      </c>
      <c r="O63" s="684" t="str">
        <f>O57</f>
        <v>Proposed</v>
      </c>
      <c r="P63" s="604" t="str">
        <f>$G$26</f>
        <v>% Change over 6/1/2025</v>
      </c>
      <c r="Q63" s="727" t="s">
        <v>148</v>
      </c>
    </row>
    <row r="64" spans="2:19">
      <c r="B64" s="713" t="s">
        <v>291</v>
      </c>
      <c r="C64" s="728"/>
      <c r="D64" s="605">
        <f>IF($D$3="All",'Hypothetical Res Bill Impact'!D67,(VLOOKUP($D$3,'Hypothetical Res Bill Impact'!$B$63:$J$66,3,FALSE)))</f>
        <v>117.56449387942199</v>
      </c>
      <c r="E64" s="605">
        <f>IF($D$3="All",'Hypothetical Res Bill Impact'!F67,(VLOOKUP($D$3,'Hypothetical Res Bill Impact'!$B$63:$J$66,5,FALSE)))</f>
        <v>127.23896195033593</v>
      </c>
      <c r="F64" s="605">
        <f>IF($D$3="All",'Hypothetical Res Bill Impact'!H67,(VLOOKUP($D$3,'Hypothetical Res Bill Impact'!$B$63:$J$66,7,FALSE)))</f>
        <v>127.23896195033593</v>
      </c>
      <c r="G64" s="66">
        <f t="shared" ref="G64:H66" si="11">$F64/D64-1</f>
        <v>8.2290730403997703E-2</v>
      </c>
      <c r="H64" s="68">
        <f t="shared" si="11"/>
        <v>0</v>
      </c>
      <c r="I64" s="690"/>
      <c r="J64" s="691"/>
      <c r="K64" s="713" t="s">
        <v>291</v>
      </c>
      <c r="L64" s="728"/>
      <c r="M64" s="605">
        <f>IF($D$3="All",'Hypothetical Res Bill Impact'!M67,(VLOOKUP($D$3,'Hypothetical Res Bill Impact'!$K$63:$Q$66,3,FALSE)))</f>
        <v>112.45299414553408</v>
      </c>
      <c r="N64" s="605">
        <f>IF($D$3="All",'Hypothetical Res Bill Impact'!O67,(VLOOKUP($D$3,'Hypothetical Res Bill Impact'!$K$63:$Q$66,5,FALSE)))</f>
        <v>122.74174186553873</v>
      </c>
      <c r="O64" s="605">
        <f>IF($D$3="All",'Hypothetical Res Bill Impact'!Q67,(VLOOKUP($D$3,'Hypothetical Res Bill Impact'!$K$63:$Q$66,7,FALSE)))</f>
        <v>122.74174186553873</v>
      </c>
      <c r="P64" s="268">
        <f t="shared" ref="P64:Q66" si="12">$O64/M64-1</f>
        <v>9.149376411168908E-2</v>
      </c>
      <c r="Q64" s="269">
        <f t="shared" si="12"/>
        <v>0</v>
      </c>
      <c r="R64" s="481"/>
      <c r="S64" s="482"/>
    </row>
    <row r="65" spans="2:19">
      <c r="B65" s="713" t="s">
        <v>292</v>
      </c>
      <c r="C65" s="728"/>
      <c r="D65" s="605">
        <f>IF($D$3="All",'Hypothetical Res Bill Impact'!D77,(VLOOKUP($D$3,'Hypothetical Res Bill Impact'!$B$73:$J$76,3,FALSE)))</f>
        <v>73.220039999999997</v>
      </c>
      <c r="E65" s="605">
        <f>IF($D$3="All",'Hypothetical Res Bill Impact'!F77,(VLOOKUP($D$3,'Hypothetical Res Bill Impact'!$B$73:$J$76,5,FALSE)))</f>
        <v>72.156360000000006</v>
      </c>
      <c r="F65" s="605">
        <f>IF($D$3="All",'Hypothetical Res Bill Impact'!H77,(VLOOKUP($D$3,'Hypothetical Res Bill Impact'!$B$73:$J$76,7,FALSE)))</f>
        <v>72.156359999999992</v>
      </c>
      <c r="G65" s="66">
        <f t="shared" si="11"/>
        <v>-1.4527170430390424E-2</v>
      </c>
      <c r="H65" s="68">
        <f t="shared" si="11"/>
        <v>0</v>
      </c>
      <c r="I65" s="690"/>
      <c r="J65" s="691"/>
      <c r="K65" s="713" t="s">
        <v>292</v>
      </c>
      <c r="L65" s="728"/>
      <c r="M65" s="605">
        <f>IF($D$3="All",'Hypothetical Res Bill Impact'!M77,(VLOOKUP($D$3,'Hypothetical Res Bill Impact'!$K$73:$Q$76,3,FALSE)))</f>
        <v>70.036560000000009</v>
      </c>
      <c r="N65" s="605">
        <f>IF($D$3="All",'Hypothetical Res Bill Impact'!O77,(VLOOKUP($D$3,'Hypothetical Res Bill Impact'!$K$73:$Q$76,5,FALSE)))</f>
        <v>69.276240000000001</v>
      </c>
      <c r="O65" s="605">
        <f>IF($D$3="All",'Hypothetical Res Bill Impact'!Q77,(VLOOKUP($D$3,'Hypothetical Res Bill Impact'!$K$73:$Q$76,7,FALSE)))</f>
        <v>69.276240000000001</v>
      </c>
      <c r="P65" s="66">
        <f t="shared" si="12"/>
        <v>-1.0856044328847791E-2</v>
      </c>
      <c r="Q65" s="68">
        <f t="shared" si="12"/>
        <v>0</v>
      </c>
      <c r="R65" s="481"/>
      <c r="S65" s="482"/>
    </row>
    <row r="66" spans="2:19" ht="15" thickBot="1">
      <c r="B66" s="697" t="s">
        <v>113</v>
      </c>
      <c r="C66" s="701"/>
      <c r="D66" s="606">
        <f>D64*(1-'Hypothetical SAR and RAR'!$AA$17)+D65*'Hypothetical SAR and RAR'!$AA$17</f>
        <v>107.66211616662039</v>
      </c>
      <c r="E66" s="606">
        <f>E64*(1-'Hypothetical SAR and RAR'!$AA$17)+E65*'Hypothetical SAR and RAR'!$AA$17</f>
        <v>114.93869253221952</v>
      </c>
      <c r="F66" s="606">
        <f>F64*(1-'Hypothetical SAR and RAR'!$AA$17)+F65*'Hypothetical SAR and RAR'!$AA$17</f>
        <v>114.93869253221952</v>
      </c>
      <c r="G66" s="69">
        <f t="shared" si="11"/>
        <v>6.7587157160627687E-2</v>
      </c>
      <c r="H66" s="70">
        <f t="shared" si="11"/>
        <v>0</v>
      </c>
      <c r="I66" s="690"/>
      <c r="J66" s="691"/>
      <c r="K66" s="697" t="s">
        <v>113</v>
      </c>
      <c r="L66" s="701"/>
      <c r="M66" s="606">
        <f>M64*(1-'Hypothetical SAR and RAR'!$AA$17)+M65*'Hypothetical SAR and RAR'!$AA$17</f>
        <v>102.98115459415864</v>
      </c>
      <c r="N66" s="606">
        <f>N64*(1-'Hypothetical SAR and RAR'!$AA$17)+N65*'Hypothetical SAR and RAR'!$AA$17</f>
        <v>110.80258042008123</v>
      </c>
      <c r="O66" s="606">
        <f>O64*(1-'Hypothetical SAR and RAR'!$AA$17)+O65*'Hypothetical SAR and RAR'!$AA$17</f>
        <v>110.80258042008123</v>
      </c>
      <c r="P66" s="69">
        <f t="shared" si="12"/>
        <v>7.5950069279629551E-2</v>
      </c>
      <c r="Q66" s="70">
        <f t="shared" si="12"/>
        <v>0</v>
      </c>
      <c r="R66" s="481"/>
      <c r="S66" s="482"/>
    </row>
    <row r="67" spans="2:19" ht="15" thickBot="1">
      <c r="B67" s="643"/>
      <c r="C67" s="643"/>
      <c r="D67" s="643"/>
      <c r="E67" s="643"/>
      <c r="F67" s="643"/>
      <c r="G67" s="643"/>
      <c r="H67" s="643"/>
      <c r="I67" s="643"/>
      <c r="J67" s="643"/>
      <c r="K67" s="643"/>
      <c r="L67" s="643"/>
      <c r="M67" s="643"/>
      <c r="N67" s="643"/>
      <c r="O67" s="643"/>
      <c r="P67" s="643"/>
      <c r="Q67" s="643"/>
    </row>
    <row r="68" spans="2:19">
      <c r="B68" s="722" t="s">
        <v>305</v>
      </c>
      <c r="C68" s="723"/>
      <c r="D68" s="723"/>
      <c r="E68" s="723"/>
      <c r="F68" s="723"/>
      <c r="G68" s="723"/>
      <c r="H68" s="724"/>
      <c r="I68" s="643"/>
      <c r="J68" s="643"/>
      <c r="K68" s="722" t="s">
        <v>300</v>
      </c>
      <c r="L68" s="723"/>
      <c r="M68" s="723"/>
      <c r="N68" s="723"/>
      <c r="O68" s="723"/>
      <c r="P68" s="723"/>
      <c r="Q68" s="724"/>
    </row>
    <row r="69" spans="2:19" ht="28.8">
      <c r="B69" s="709"/>
      <c r="C69" s="725"/>
      <c r="D69" s="678" t="str">
        <f>D63</f>
        <v>6/1/2025</v>
      </c>
      <c r="E69" s="726" t="str">
        <f>E63</f>
        <v>10/1/25</v>
      </c>
      <c r="F69" s="684" t="str">
        <f>F63</f>
        <v>Proposed</v>
      </c>
      <c r="G69" s="604" t="str">
        <f>$G$26</f>
        <v>% Change over 6/1/2025</v>
      </c>
      <c r="H69" s="727" t="s">
        <v>148</v>
      </c>
      <c r="I69" s="643"/>
      <c r="J69" s="643"/>
      <c r="K69" s="709"/>
      <c r="L69" s="725"/>
      <c r="M69" s="678" t="str">
        <f>M63</f>
        <v>6/1/2025</v>
      </c>
      <c r="N69" s="726" t="str">
        <f>N63</f>
        <v>10/1/25</v>
      </c>
      <c r="O69" s="684" t="str">
        <f>O63</f>
        <v>Proposed</v>
      </c>
      <c r="P69" s="604" t="str">
        <f>$G$26</f>
        <v>% Change over 6/1/2025</v>
      </c>
      <c r="Q69" s="727" t="s">
        <v>148</v>
      </c>
    </row>
    <row r="70" spans="2:19">
      <c r="B70" s="686" t="str">
        <f>$H$9&amp;" kWh Monthly Usage - Non-CARE"</f>
        <v>400 kWh Monthly Usage - Non-CARE</v>
      </c>
      <c r="C70" s="687"/>
      <c r="D70" s="605">
        <f>((D76*5)+(D82*7)+(H6*2))/12</f>
        <v>161.70460120077044</v>
      </c>
      <c r="E70" s="605">
        <f>((E76*5)+(E82*7)+(H6*2))/12</f>
        <v>164.44345048167855</v>
      </c>
      <c r="F70" s="605">
        <f>((F76*5)+(F82*7)+(H7*2))/12</f>
        <v>169.77885964223256</v>
      </c>
      <c r="G70" s="67">
        <f t="shared" ref="G70:H72" si="13">$F70/D70-1</f>
        <v>4.9932150238800155E-2</v>
      </c>
      <c r="H70" s="68">
        <f t="shared" si="13"/>
        <v>3.2445251817118992E-2</v>
      </c>
      <c r="I70" s="690"/>
      <c r="J70" s="691"/>
      <c r="K70" s="686" t="str">
        <f>B70</f>
        <v>400 kWh Monthly Usage - Non-CARE</v>
      </c>
      <c r="L70" s="687"/>
      <c r="M70" s="605">
        <f>((M76*5)+(M82*7)+(H6*2))/12</f>
        <v>168.05767174640056</v>
      </c>
      <c r="N70" s="605">
        <f>((N76*5)+(N82*7)+(H6*2))/12</f>
        <v>170.03159773422701</v>
      </c>
      <c r="O70" s="605">
        <f>((O76*5)+(O82*7)+(H7*2))/12</f>
        <v>175.36700689478104</v>
      </c>
      <c r="P70" s="268">
        <f t="shared" ref="P70:Q72" si="14">$O70/M70-1</f>
        <v>4.349301684608764E-2</v>
      </c>
      <c r="Q70" s="269">
        <f t="shared" si="14"/>
        <v>3.1378927397328171E-2</v>
      </c>
      <c r="R70" s="481"/>
      <c r="S70" s="482"/>
    </row>
    <row r="71" spans="2:19">
      <c r="B71" s="694"/>
      <c r="C71" s="695" t="str">
        <f>$H$9&amp;" kWh Monthly Usage - CARE"</f>
        <v>400 kWh Monthly Usage - CARE</v>
      </c>
      <c r="D71" s="605">
        <f>((D77*5)+(D83*7)+(H6*2))/12</f>
        <v>95.72783423744221</v>
      </c>
      <c r="E71" s="605">
        <f>((E77*5)+(E83*7)+(H6*2))/12</f>
        <v>91.147280904108882</v>
      </c>
      <c r="F71" s="605">
        <f>((F77*5)+(F83*7)+(H7*2))/12</f>
        <v>96.48269006466289</v>
      </c>
      <c r="G71" s="66">
        <f t="shared" si="13"/>
        <v>7.8854372214076651E-3</v>
      </c>
      <c r="H71" s="68">
        <f t="shared" si="13"/>
        <v>5.853613083825393E-2</v>
      </c>
      <c r="I71" s="690"/>
      <c r="J71" s="691"/>
      <c r="K71" s="694"/>
      <c r="L71" s="695" t="str">
        <f>C71</f>
        <v>400 kWh Monthly Usage - CARE</v>
      </c>
      <c r="M71" s="605">
        <f>((M77*5)+(M83*7)+(H6*2))/12</f>
        <v>99.857344237442234</v>
      </c>
      <c r="N71" s="605">
        <f>((N77*5)+(N83*7)+(H6*2))/12</f>
        <v>94.779704237442218</v>
      </c>
      <c r="O71" s="605">
        <f>((O77*5)+(O83*7)+(H7*2))/12</f>
        <v>100.11511339799624</v>
      </c>
      <c r="P71" s="66">
        <f t="shared" si="14"/>
        <v>2.5813740844247146E-3</v>
      </c>
      <c r="Q71" s="68">
        <f t="shared" si="14"/>
        <v>5.6292739078270815E-2</v>
      </c>
      <c r="R71" s="481"/>
      <c r="S71" s="482"/>
    </row>
    <row r="72" spans="2:19" ht="15" thickBot="1">
      <c r="B72" s="697" t="s">
        <v>113</v>
      </c>
      <c r="C72" s="698"/>
      <c r="D72" s="606">
        <f>((D78*5)+(D84*7)+(H6*2))/12</f>
        <v>146.97160057532935</v>
      </c>
      <c r="E72" s="606">
        <f>((E78*5)+(E84*7)+(H6*2))/12</f>
        <v>148.07598414570319</v>
      </c>
      <c r="F72" s="606">
        <f>((F78*5)+(F84*7)+(H7*2))/12</f>
        <v>153.41139330625717</v>
      </c>
      <c r="G72" s="69">
        <f t="shared" si="13"/>
        <v>4.3816578888158375E-2</v>
      </c>
      <c r="H72" s="70">
        <f t="shared" si="13"/>
        <v>3.6031563060921812E-2</v>
      </c>
      <c r="I72" s="690"/>
      <c r="J72" s="691"/>
      <c r="K72" s="697" t="s">
        <v>113</v>
      </c>
      <c r="L72" s="698"/>
      <c r="M72" s="606">
        <f>((M78*5)+(M84*7)+(H6*2))/12</f>
        <v>152.82813695571795</v>
      </c>
      <c r="N72" s="606">
        <f>((N78*5)+(N84*7)+(H6*2))/12</f>
        <v>153.22740672908134</v>
      </c>
      <c r="O72" s="606">
        <f>((O78*5)+(O84*7)+(H7*2))/12</f>
        <v>158.56281588963535</v>
      </c>
      <c r="P72" s="69">
        <f t="shared" si="14"/>
        <v>3.7523711589699138E-2</v>
      </c>
      <c r="Q72" s="70">
        <f t="shared" si="14"/>
        <v>3.4820201388563898E-2</v>
      </c>
      <c r="R72" s="481"/>
      <c r="S72" s="482"/>
    </row>
    <row r="73" spans="2:19" ht="15" thickBot="1">
      <c r="B73" s="643"/>
      <c r="C73" s="643"/>
      <c r="D73" s="643"/>
      <c r="E73" s="643"/>
      <c r="F73" s="643"/>
      <c r="G73" s="643"/>
      <c r="H73" s="643"/>
      <c r="I73" s="643"/>
      <c r="J73" s="643"/>
      <c r="K73" s="643"/>
      <c r="L73" s="643"/>
      <c r="M73" s="643"/>
      <c r="N73" s="643"/>
      <c r="O73" s="643"/>
      <c r="P73" s="643"/>
      <c r="Q73" s="643"/>
    </row>
    <row r="74" spans="2:19">
      <c r="B74" s="705" t="s">
        <v>296</v>
      </c>
      <c r="C74" s="706"/>
      <c r="D74" s="706"/>
      <c r="E74" s="706"/>
      <c r="F74" s="706"/>
      <c r="G74" s="706"/>
      <c r="H74" s="707"/>
      <c r="I74" s="643"/>
      <c r="J74" s="643"/>
      <c r="K74" s="705" t="s">
        <v>299</v>
      </c>
      <c r="L74" s="706"/>
      <c r="M74" s="706"/>
      <c r="N74" s="706"/>
      <c r="O74" s="706"/>
      <c r="P74" s="706"/>
      <c r="Q74" s="707"/>
    </row>
    <row r="75" spans="2:19" ht="28.8">
      <c r="B75" s="709"/>
      <c r="C75" s="725"/>
      <c r="D75" s="678" t="str">
        <f>D69</f>
        <v>6/1/2025</v>
      </c>
      <c r="E75" s="726" t="str">
        <f>E69</f>
        <v>10/1/25</v>
      </c>
      <c r="F75" s="684" t="str">
        <f>F69</f>
        <v>Proposed</v>
      </c>
      <c r="G75" s="604" t="str">
        <f>$G$26</f>
        <v>% Change over 6/1/2025</v>
      </c>
      <c r="H75" s="727" t="s">
        <v>148</v>
      </c>
      <c r="I75" s="643"/>
      <c r="J75" s="643"/>
      <c r="K75" s="709"/>
      <c r="L75" s="725"/>
      <c r="M75" s="678" t="str">
        <f>M69</f>
        <v>6/1/2025</v>
      </c>
      <c r="N75" s="726" t="str">
        <f>N69</f>
        <v>10/1/25</v>
      </c>
      <c r="O75" s="684" t="str">
        <f>O69</f>
        <v>Proposed</v>
      </c>
      <c r="P75" s="604" t="str">
        <f>$G$26</f>
        <v>% Change over 6/1/2025</v>
      </c>
      <c r="Q75" s="727" t="s">
        <v>148</v>
      </c>
    </row>
    <row r="76" spans="2:19">
      <c r="B76" s="686" t="str">
        <f>$B$70</f>
        <v>400 kWh Monthly Usage - Non-CARE</v>
      </c>
      <c r="C76" s="687"/>
      <c r="D76" s="605">
        <f>IF($D$3="All",'Hypothetical Res Bill Impact'!C87,(VLOOKUP($D$3,'Hypothetical Res Bill Impact'!$B$83:$J$86,2,FALSE)))</f>
        <v>175.78159827915951</v>
      </c>
      <c r="E76" s="605">
        <f>IF($D$3="All",'Hypothetical Res Bill Impact'!E87,(VLOOKUP($D$3,'Hypothetical Res Bill Impact'!$B$83:$J$86,4,FALSE)))</f>
        <v>178.4585462531131</v>
      </c>
      <c r="F76" s="605">
        <f>IF($D$3="All",'Hypothetical Res Bill Impact'!G87,(VLOOKUP($D$3,'Hypothetical Res Bill Impact'!$B$83:$J$86,6,FALSE)))</f>
        <v>178.4585462531131</v>
      </c>
      <c r="G76" s="67">
        <f t="shared" ref="G76:H78" si="15">$F76/D76-1</f>
        <v>1.5228829411952027E-2</v>
      </c>
      <c r="H76" s="68">
        <f t="shared" si="15"/>
        <v>0</v>
      </c>
      <c r="I76" s="690"/>
      <c r="J76" s="691"/>
      <c r="K76" s="686" t="str">
        <f>B76</f>
        <v>400 kWh Monthly Usage - Non-CARE</v>
      </c>
      <c r="L76" s="687"/>
      <c r="M76" s="605">
        <f>IF($D$3="All",'Hypothetical Res Bill Impact'!L87,(VLOOKUP($D$3,'Hypothetical Res Bill Impact'!$K$83:$Q$86,2,FALSE)))</f>
        <v>188.56118527268148</v>
      </c>
      <c r="N76" s="605">
        <f>IF($D$3="All",'Hypothetical Res Bill Impact'!N87,(VLOOKUP($D$3,'Hypothetical Res Bill Impact'!$K$83:$Q$86,4,FALSE)))</f>
        <v>189.69944361662101</v>
      </c>
      <c r="O76" s="605">
        <f>IF($D$3="All",'Hypothetical Res Bill Impact'!P87,(VLOOKUP($D$3,'Hypothetical Res Bill Impact'!$K$83:$Q$86,6,FALSE)))</f>
        <v>189.69944361662101</v>
      </c>
      <c r="P76" s="268">
        <f t="shared" ref="P76:Q78" si="16">$O76/M76-1</f>
        <v>6.0365463989497936E-3</v>
      </c>
      <c r="Q76" s="269">
        <f t="shared" si="16"/>
        <v>0</v>
      </c>
      <c r="R76" s="481"/>
      <c r="S76" s="482"/>
    </row>
    <row r="77" spans="2:19">
      <c r="B77" s="694"/>
      <c r="C77" s="695" t="str">
        <f>$C$71</f>
        <v>400 kWh Monthly Usage - CARE</v>
      </c>
      <c r="D77" s="605">
        <f>IF($D$3="All",'Hypothetical Res Bill Impact'!C97,(VLOOKUP($D$3,'Hypothetical Res Bill Impact'!$B$93:$J$96,2,FALSE)))</f>
        <v>109.62488999999999</v>
      </c>
      <c r="E77" s="605">
        <f>IF($D$3="All",'Hypothetical Res Bill Impact'!E97,(VLOOKUP($D$3,'Hypothetical Res Bill Impact'!$B$93:$J$96,4,FALSE)))</f>
        <v>105.00411</v>
      </c>
      <c r="F77" s="605">
        <f>IF($D$3="All",'Hypothetical Res Bill Impact'!G97,(VLOOKUP($D$3,'Hypothetical Res Bill Impact'!$B$93:$J$96,6,FALSE)))</f>
        <v>105.00410999999998</v>
      </c>
      <c r="G77" s="66">
        <f t="shared" si="15"/>
        <v>-4.2150829068106854E-2</v>
      </c>
      <c r="H77" s="68">
        <f t="shared" si="15"/>
        <v>0</v>
      </c>
      <c r="I77" s="690"/>
      <c r="J77" s="691"/>
      <c r="K77" s="694"/>
      <c r="L77" s="695" t="str">
        <f>C77</f>
        <v>400 kWh Monthly Usage - CARE</v>
      </c>
      <c r="M77" s="605">
        <f>IF($D$3="All",'Hypothetical Res Bill Impact'!L97,(VLOOKUP($D$3,'Hypothetical Res Bill Impact'!$K$93:$Q$96,2,FALSE)))</f>
        <v>117.93164999999999</v>
      </c>
      <c r="N77" s="605">
        <f>IF($D$3="All",'Hypothetical Res Bill Impact'!N97,(VLOOKUP($D$3,'Hypothetical Res Bill Impact'!$K$93:$Q$96,4,FALSE)))</f>
        <v>112.31095000000001</v>
      </c>
      <c r="O77" s="605">
        <f>IF($D$3="All",'Hypothetical Res Bill Impact'!P97,(VLOOKUP($D$3,'Hypothetical Res Bill Impact'!$K$93:$Q$96,6,FALSE)))</f>
        <v>112.31094999999999</v>
      </c>
      <c r="P77" s="66">
        <f t="shared" si="16"/>
        <v>-4.7660657677561558E-2</v>
      </c>
      <c r="Q77" s="68">
        <f t="shared" si="16"/>
        <v>0</v>
      </c>
      <c r="R77" s="481"/>
      <c r="S77" s="482"/>
    </row>
    <row r="78" spans="2:19" ht="15" thickBot="1">
      <c r="B78" s="697" t="s">
        <v>113</v>
      </c>
      <c r="C78" s="698"/>
      <c r="D78" s="606">
        <f>D76*(1-'Hypothetical SAR and RAR'!$AA$17)+D77*'Hypothetical SAR and RAR'!$AA$17</f>
        <v>161.00841569814978</v>
      </c>
      <c r="E78" s="606">
        <f>E76*(1-'Hypothetical SAR and RAR'!$AA$17)+E77*'Hypothetical SAR and RAR'!$AA$17</f>
        <v>162.05573803639561</v>
      </c>
      <c r="F78" s="606">
        <f>F76*(1-'Hypothetical SAR and RAR'!$AA$17)+F77*'Hypothetical SAR and RAR'!$AA$17</f>
        <v>162.05573803639561</v>
      </c>
      <c r="G78" s="69">
        <f t="shared" si="15"/>
        <v>6.5047676775435992E-3</v>
      </c>
      <c r="H78" s="70">
        <f t="shared" si="15"/>
        <v>0</v>
      </c>
      <c r="I78" s="690"/>
      <c r="J78" s="691"/>
      <c r="K78" s="697" t="s">
        <v>113</v>
      </c>
      <c r="L78" s="698"/>
      <c r="M78" s="606">
        <f>M76*(1-'Hypothetical SAR and RAR'!$AA$17)+M77*'Hypothetical SAR and RAR'!$AA$17</f>
        <v>172.78919408182162</v>
      </c>
      <c r="N78" s="606">
        <f>N76*(1-'Hypothetical SAR and RAR'!$AA$17)+N77*'Hypothetical SAR and RAR'!$AA$17</f>
        <v>172.41813722145687</v>
      </c>
      <c r="O78" s="606">
        <f>O76*(1-'Hypothetical SAR and RAR'!$AA$17)+O77*'Hypothetical SAR and RAR'!$AA$17</f>
        <v>172.41813722145687</v>
      </c>
      <c r="P78" s="69">
        <f t="shared" si="16"/>
        <v>-2.1474540832051581E-3</v>
      </c>
      <c r="Q78" s="70">
        <f t="shared" si="16"/>
        <v>0</v>
      </c>
      <c r="R78" s="481"/>
      <c r="S78" s="482"/>
    </row>
    <row r="79" spans="2:19" ht="15" thickBot="1">
      <c r="B79" s="643"/>
      <c r="C79" s="643"/>
      <c r="D79" s="643"/>
      <c r="E79" s="643"/>
      <c r="F79" s="643"/>
      <c r="G79" s="643"/>
      <c r="H79" s="643"/>
      <c r="I79" s="643"/>
      <c r="J79" s="643"/>
      <c r="K79" s="643"/>
      <c r="L79" s="643"/>
      <c r="M79" s="643"/>
      <c r="N79" s="643"/>
      <c r="O79" s="643"/>
      <c r="P79" s="643"/>
      <c r="Q79" s="643"/>
    </row>
    <row r="80" spans="2:19">
      <c r="B80" s="705" t="s">
        <v>297</v>
      </c>
      <c r="C80" s="706"/>
      <c r="D80" s="706"/>
      <c r="E80" s="706"/>
      <c r="F80" s="706"/>
      <c r="G80" s="706"/>
      <c r="H80" s="707"/>
      <c r="I80" s="643"/>
      <c r="J80" s="643"/>
      <c r="K80" s="705" t="s">
        <v>298</v>
      </c>
      <c r="L80" s="706"/>
      <c r="M80" s="706"/>
      <c r="N80" s="706"/>
      <c r="O80" s="706"/>
      <c r="P80" s="706"/>
      <c r="Q80" s="707"/>
    </row>
    <row r="81" spans="2:19" ht="28.8">
      <c r="B81" s="709"/>
      <c r="C81" s="725"/>
      <c r="D81" s="678" t="str">
        <f>D75</f>
        <v>6/1/2025</v>
      </c>
      <c r="E81" s="726" t="str">
        <f>E75</f>
        <v>10/1/25</v>
      </c>
      <c r="F81" s="684" t="str">
        <f>F75</f>
        <v>Proposed</v>
      </c>
      <c r="G81" s="604" t="str">
        <f>$G$26</f>
        <v>% Change over 6/1/2025</v>
      </c>
      <c r="H81" s="727" t="s">
        <v>148</v>
      </c>
      <c r="I81" s="643"/>
      <c r="J81" s="643"/>
      <c r="K81" s="709"/>
      <c r="L81" s="725"/>
      <c r="M81" s="678" t="str">
        <f>M75</f>
        <v>6/1/2025</v>
      </c>
      <c r="N81" s="726" t="str">
        <f>N75</f>
        <v>10/1/25</v>
      </c>
      <c r="O81" s="684" t="str">
        <f>O75</f>
        <v>Proposed</v>
      </c>
      <c r="P81" s="604" t="str">
        <f>$G$26</f>
        <v>% Change over 6/1/2025</v>
      </c>
      <c r="Q81" s="727" t="s">
        <v>148</v>
      </c>
    </row>
    <row r="82" spans="2:19">
      <c r="B82" s="686" t="str">
        <f>$B$70</f>
        <v>400 kWh Monthly Usage - Non-CARE</v>
      </c>
      <c r="C82" s="687"/>
      <c r="D82" s="605">
        <f>IF($D$3="All",'Hypothetical Res Bill Impact'!D87,(VLOOKUP($D$3,'Hypothetical Res Bill Impact'!$B$83:$J$86,3,FALSE)))</f>
        <v>174.9002474520201</v>
      </c>
      <c r="E82" s="605">
        <f>IF($D$3="All",'Hypothetical Res Bill Impact'!F87,(VLOOKUP($D$3,'Hypothetical Res Bill Impact'!$B$83:$J$86,5,FALSE)))</f>
        <v>177.6833119521815</v>
      </c>
      <c r="F82" s="605">
        <f>IF($D$3="All",'Hypothetical Res Bill Impact'!H87,(VLOOKUP($D$3,'Hypothetical Res Bill Impact'!$B$83:$J$86,7,FALSE)))</f>
        <v>177.6833119521815</v>
      </c>
      <c r="G82" s="67">
        <f t="shared" ref="G82:H84" si="17">$F82/D82-1</f>
        <v>1.5912295955583966E-2</v>
      </c>
      <c r="H82" s="68">
        <f t="shared" si="17"/>
        <v>0</v>
      </c>
      <c r="I82" s="690"/>
      <c r="J82" s="691"/>
      <c r="K82" s="686" t="str">
        <f>B82</f>
        <v>400 kWh Monthly Usage - Non-CARE</v>
      </c>
      <c r="L82" s="687"/>
      <c r="M82" s="605">
        <f>IF($D$3="All",'Hypothetical Res Bill Impact'!M87,(VLOOKUP($D$3,'Hypothetical Res Bill Impact'!$K$83:$Q$86,3,FALSE)))</f>
        <v>176.66294910629895</v>
      </c>
      <c r="N82" s="605">
        <f>IF($D$3="All",'Hypothetical Res Bill Impact'!O87,(VLOOKUP($D$3,'Hypothetical Res Bill Impact'!$K$83:$Q$86,5,FALSE)))</f>
        <v>179.23378055404464</v>
      </c>
      <c r="O82" s="605">
        <f>IF($D$3="All",'Hypothetical Res Bill Impact'!Q87,(VLOOKUP($D$3,'Hypothetical Res Bill Impact'!$K$83:$Q$86,7,FALSE)))</f>
        <v>179.23378055404464</v>
      </c>
      <c r="P82" s="268">
        <f t="shared" ref="P82:Q84" si="18">$O82/M82-1</f>
        <v>1.4552182337898234E-2</v>
      </c>
      <c r="Q82" s="269">
        <f t="shared" si="18"/>
        <v>0</v>
      </c>
      <c r="R82" s="481"/>
      <c r="S82" s="482"/>
    </row>
    <row r="83" spans="2:19">
      <c r="B83" s="694"/>
      <c r="C83" s="695" t="str">
        <f>$C$71</f>
        <v>400 kWh Monthly Usage - CARE</v>
      </c>
      <c r="D83" s="605">
        <f>IF($D$3="All",'Hypothetical Res Bill Impact'!D97,(VLOOKUP($D$3,'Hypothetical Res Bill Impact'!$B$93:$J$96,3,FALSE)))</f>
        <v>109.05201</v>
      </c>
      <c r="E83" s="605">
        <f>IF($D$3="All",'Hypothetical Res Bill Impact'!F97,(VLOOKUP($D$3,'Hypothetical Res Bill Impact'!$B$93:$J$96,5,FALSE)))</f>
        <v>104.50019</v>
      </c>
      <c r="F83" s="605">
        <f>IF($D$3="All",'Hypothetical Res Bill Impact'!H97,(VLOOKUP($D$3,'Hypothetical Res Bill Impact'!$B$93:$J$96,7,FALSE)))</f>
        <v>104.50018999999998</v>
      </c>
      <c r="G83" s="66">
        <f t="shared" si="17"/>
        <v>-4.173990007153483E-2</v>
      </c>
      <c r="H83" s="68">
        <f t="shared" si="17"/>
        <v>0</v>
      </c>
      <c r="I83" s="690"/>
      <c r="J83" s="691"/>
      <c r="K83" s="694"/>
      <c r="L83" s="695" t="str">
        <f>C83</f>
        <v>400 kWh Monthly Usage - CARE</v>
      </c>
      <c r="M83" s="605">
        <f>IF($D$3="All",'Hypothetical Res Bill Impact'!M97,(VLOOKUP($D$3,'Hypothetical Res Bill Impact'!$K$93:$Q$96,3,FALSE)))</f>
        <v>110.19777000000001</v>
      </c>
      <c r="N83" s="605">
        <f>IF($D$3="All",'Hypothetical Res Bill Impact'!O97,(VLOOKUP($D$3,'Hypothetical Res Bill Impact'!$K$93:$Q$96,5,FALSE)))</f>
        <v>105.50802999999999</v>
      </c>
      <c r="O83" s="605">
        <f>IF($D$3="All",'Hypothetical Res Bill Impact'!Q97,(VLOOKUP($D$3,'Hypothetical Res Bill Impact'!$K$93:$Q$96,7,FALSE)))</f>
        <v>105.50802999999999</v>
      </c>
      <c r="P83" s="66">
        <f t="shared" si="18"/>
        <v>-4.2557485509915671E-2</v>
      </c>
      <c r="Q83" s="68">
        <f t="shared" si="18"/>
        <v>0</v>
      </c>
      <c r="R83" s="481"/>
      <c r="S83" s="482"/>
    </row>
    <row r="84" spans="2:19" ht="15" thickBot="1">
      <c r="B84" s="697" t="s">
        <v>113</v>
      </c>
      <c r="C84" s="698"/>
      <c r="D84" s="606">
        <f>D82*(1-'Hypothetical SAR and RAR'!$AA$17)+D83*'Hypothetical SAR and RAR'!$AA$17</f>
        <v>160.19594822341384</v>
      </c>
      <c r="E84" s="606">
        <f>E82*(1-'Hypothetical SAR and RAR'!$AA$17)+E83*'Hypothetical SAR and RAR'!$AA$17</f>
        <v>161.3410898167362</v>
      </c>
      <c r="F84" s="606">
        <f>F82*(1-'Hypothetical SAR and RAR'!$AA$17)+F83*'Hypothetical SAR and RAR'!$AA$17</f>
        <v>161.34108981673617</v>
      </c>
      <c r="G84" s="69">
        <f t="shared" si="17"/>
        <v>7.1483805053875749E-3</v>
      </c>
      <c r="H84" s="70">
        <f t="shared" si="17"/>
        <v>0</v>
      </c>
      <c r="I84" s="690"/>
      <c r="J84" s="691"/>
      <c r="K84" s="697" t="s">
        <v>113</v>
      </c>
      <c r="L84" s="698"/>
      <c r="M84" s="606">
        <f>M82*(1-'Hypothetical SAR and RAR'!$AA$17)+M83*'Hypothetical SAR and RAR'!$AA$17</f>
        <v>161.82088317288577</v>
      </c>
      <c r="N84" s="606">
        <f>N82*(1-'Hypothetical SAR and RAR'!$AA$17)+N83*'Hypothetical SAR and RAR'!$AA$17</f>
        <v>162.77038625605499</v>
      </c>
      <c r="O84" s="606">
        <f>O82*(1-'Hypothetical SAR and RAR'!$AA$17)+O83*'Hypothetical SAR and RAR'!$AA$17</f>
        <v>162.77038625605499</v>
      </c>
      <c r="P84" s="69">
        <f t="shared" si="18"/>
        <v>5.8676177298748744E-3</v>
      </c>
      <c r="Q84" s="70">
        <f t="shared" si="18"/>
        <v>0</v>
      </c>
      <c r="R84" s="481"/>
      <c r="S84" s="482"/>
    </row>
    <row r="86" spans="2:19" ht="15" thickBot="1"/>
    <row r="87" spans="2:19">
      <c r="B87" s="533" t="s">
        <v>423</v>
      </c>
      <c r="C87" s="534"/>
      <c r="D87" s="534"/>
      <c r="E87" s="534"/>
      <c r="F87" s="534"/>
      <c r="G87" s="534"/>
      <c r="H87" s="535"/>
    </row>
    <row r="88" spans="2:19" ht="28.8">
      <c r="B88" s="64"/>
      <c r="C88" s="65"/>
      <c r="D88" s="54" t="str">
        <f>$D$26</f>
        <v>6/1/2025</v>
      </c>
      <c r="E88" s="54" t="str">
        <f>$E$26</f>
        <v>10/1/25</v>
      </c>
      <c r="F88" s="54" t="str">
        <f>$F$26</f>
        <v>Proposed</v>
      </c>
      <c r="G88" s="244" t="str">
        <f>$G$26</f>
        <v>% Change over 6/1/2025</v>
      </c>
      <c r="H88" s="267" t="str">
        <f>$H$26</f>
        <v>% Change over 10/1/25</v>
      </c>
    </row>
    <row r="89" spans="2:19">
      <c r="B89" s="395"/>
      <c r="C89" s="42" t="s">
        <v>412</v>
      </c>
      <c r="D89" s="160">
        <f t="shared" ref="D89:F91" si="19">((D95*5)+(D101*7))/12</f>
        <v>387.32362038753587</v>
      </c>
      <c r="E89" s="160">
        <f t="shared" si="19"/>
        <v>384.37538339633164</v>
      </c>
      <c r="F89" s="161">
        <f t="shared" si="19"/>
        <v>384.37538339633164</v>
      </c>
      <c r="G89" s="252">
        <f t="shared" ref="G89:H91" si="20">$F89/D89-1</f>
        <v>-7.611818221296085E-3</v>
      </c>
      <c r="H89" s="396">
        <f t="shared" si="20"/>
        <v>0</v>
      </c>
      <c r="I89" s="481"/>
      <c r="J89" s="482"/>
    </row>
    <row r="90" spans="2:19">
      <c r="B90" s="389"/>
      <c r="C90" s="42" t="s">
        <v>413</v>
      </c>
      <c r="D90" s="160">
        <f t="shared" si="19"/>
        <v>432.83873504064422</v>
      </c>
      <c r="E90" s="160">
        <f t="shared" si="19"/>
        <v>429.60555832313588</v>
      </c>
      <c r="F90" s="161">
        <f t="shared" si="19"/>
        <v>429.60555832313588</v>
      </c>
      <c r="G90" s="252">
        <f t="shared" si="20"/>
        <v>-7.4697028148479339E-3</v>
      </c>
      <c r="H90" s="397">
        <f t="shared" si="20"/>
        <v>0</v>
      </c>
      <c r="I90" s="481"/>
      <c r="J90" s="482"/>
    </row>
    <row r="91" spans="2:19" ht="15" thickBot="1">
      <c r="B91" s="390"/>
      <c r="C91" s="341" t="s">
        <v>414</v>
      </c>
      <c r="D91" s="162">
        <f t="shared" si="19"/>
        <v>1074.8341539545861</v>
      </c>
      <c r="E91" s="162">
        <f t="shared" si="19"/>
        <v>1066.6676105790818</v>
      </c>
      <c r="F91" s="163">
        <f t="shared" si="19"/>
        <v>1066.6676105790818</v>
      </c>
      <c r="G91" s="253">
        <f t="shared" si="20"/>
        <v>-7.5979567130961545E-3</v>
      </c>
      <c r="H91" s="398">
        <f t="shared" si="20"/>
        <v>0</v>
      </c>
      <c r="I91" s="481"/>
      <c r="J91" s="482"/>
    </row>
    <row r="92" spans="2:19" ht="15" thickBot="1"/>
    <row r="93" spans="2:19">
      <c r="B93" s="533" t="s">
        <v>424</v>
      </c>
      <c r="C93" s="534"/>
      <c r="D93" s="534"/>
      <c r="E93" s="534"/>
      <c r="F93" s="534"/>
      <c r="G93" s="534"/>
      <c r="H93" s="535"/>
    </row>
    <row r="94" spans="2:19" ht="28.8">
      <c r="B94" s="64"/>
      <c r="C94" s="65"/>
      <c r="D94" s="54" t="str">
        <f>D88</f>
        <v>6/1/2025</v>
      </c>
      <c r="E94" s="54" t="str">
        <f>E81</f>
        <v>10/1/25</v>
      </c>
      <c r="F94" s="54" t="str">
        <f>F81</f>
        <v>Proposed</v>
      </c>
      <c r="G94" s="244" t="str">
        <f>G81</f>
        <v>% Change over 6/1/2025</v>
      </c>
      <c r="H94" s="267" t="str">
        <f>$H$26</f>
        <v>% Change over 10/1/25</v>
      </c>
    </row>
    <row r="95" spans="2:19">
      <c r="B95" s="395"/>
      <c r="C95" s="42" t="s">
        <v>412</v>
      </c>
      <c r="D95" s="160">
        <f>'Hypoth. Bill Impact (TOU-A)'!C36</f>
        <v>450.92885223538002</v>
      </c>
      <c r="E95" s="160">
        <f>'Hypoth. Bill Impact (TOU-A)'!E36</f>
        <v>447.84345228837992</v>
      </c>
      <c r="F95" s="161">
        <f>'Hypoth. Bill Impact (TOU-A)'!G36</f>
        <v>447.84345228837992</v>
      </c>
      <c r="G95" s="252">
        <f t="shared" ref="G95:H97" si="21">$F95/D95-1</f>
        <v>-6.8423209819130637E-3</v>
      </c>
      <c r="H95" s="397">
        <f t="shared" si="21"/>
        <v>0</v>
      </c>
      <c r="I95" s="481"/>
      <c r="J95" s="482"/>
    </row>
    <row r="96" spans="2:19">
      <c r="B96" s="389"/>
      <c r="C96" s="42" t="s">
        <v>413</v>
      </c>
      <c r="D96" s="160">
        <f>'Hypoth. Bill Impact (TOU-A)'!C37</f>
        <v>536.62160707251007</v>
      </c>
      <c r="E96" s="160">
        <f>'Hypoth. Bill Impact (TOU-A)'!E37</f>
        <v>532.98417182346009</v>
      </c>
      <c r="F96" s="161">
        <f>'Hypoth. Bill Impact (TOU-A)'!G37</f>
        <v>532.98417182346009</v>
      </c>
      <c r="G96" s="252">
        <f t="shared" si="21"/>
        <v>-6.7783987843755833E-3</v>
      </c>
      <c r="H96" s="397">
        <f t="shared" si="21"/>
        <v>0</v>
      </c>
      <c r="I96" s="481"/>
      <c r="J96" s="482"/>
    </row>
    <row r="97" spans="2:10" ht="15" thickBot="1">
      <c r="B97" s="390"/>
      <c r="C97" s="341" t="s">
        <v>414</v>
      </c>
      <c r="D97" s="162">
        <f>'Hypoth. Bill Impact (TOU-A)'!C38</f>
        <v>1354.7529005339402</v>
      </c>
      <c r="E97" s="162">
        <f>'Hypoth. Bill Impact (TOU-A)'!E38</f>
        <v>1345.44326247864</v>
      </c>
      <c r="F97" s="162">
        <f>'Hypoth. Bill Impact (TOU-A)'!G38</f>
        <v>1345.44326247864</v>
      </c>
      <c r="G97" s="245">
        <f t="shared" si="21"/>
        <v>-6.8718347468612606E-3</v>
      </c>
      <c r="H97" s="398">
        <f t="shared" si="21"/>
        <v>0</v>
      </c>
      <c r="I97" s="481"/>
      <c r="J97" s="482"/>
    </row>
    <row r="98" spans="2:10" ht="15" thickBot="1"/>
    <row r="99" spans="2:10">
      <c r="B99" s="533" t="s">
        <v>425</v>
      </c>
      <c r="C99" s="534"/>
      <c r="D99" s="534"/>
      <c r="E99" s="534"/>
      <c r="F99" s="534"/>
      <c r="G99" s="534"/>
      <c r="H99" s="535"/>
    </row>
    <row r="100" spans="2:10" ht="28.8">
      <c r="B100" s="64"/>
      <c r="C100" s="65"/>
      <c r="D100" s="54" t="str">
        <f>$D$26</f>
        <v>6/1/2025</v>
      </c>
      <c r="E100" s="54" t="str">
        <f>$E$26</f>
        <v>10/1/25</v>
      </c>
      <c r="F100" s="54" t="str">
        <f>F94</f>
        <v>Proposed</v>
      </c>
      <c r="G100" s="244" t="str">
        <f>G81</f>
        <v>% Change over 6/1/2025</v>
      </c>
      <c r="H100" s="267" t="str">
        <f>$H$26</f>
        <v>% Change over 10/1/25</v>
      </c>
    </row>
    <row r="101" spans="2:10">
      <c r="B101" s="395"/>
      <c r="C101" s="42" t="s">
        <v>412</v>
      </c>
      <c r="D101" s="160">
        <f>'Hypoth. Bill Impact (TOU-A)'!D36</f>
        <v>341.89131192479005</v>
      </c>
      <c r="E101" s="160">
        <f>'Hypoth. Bill Impact (TOU-A)'!F36</f>
        <v>339.04104847344001</v>
      </c>
      <c r="F101" s="161">
        <f>'Hypoth. Bill Impact (TOU-A)'!H36</f>
        <v>339.04104847344001</v>
      </c>
      <c r="G101" s="252">
        <f t="shared" ref="G101:H103" si="22">$F101/D101-1</f>
        <v>-8.3367530906344189E-3</v>
      </c>
      <c r="H101" s="397">
        <f t="shared" si="22"/>
        <v>0</v>
      </c>
      <c r="I101" s="481"/>
      <c r="J101" s="482"/>
    </row>
    <row r="102" spans="2:10">
      <c r="B102" s="389"/>
      <c r="C102" s="42" t="s">
        <v>413</v>
      </c>
      <c r="D102" s="160">
        <f>'Hypoth. Bill Impact (TOU-A)'!D37</f>
        <v>358.70811216074003</v>
      </c>
      <c r="E102" s="160">
        <f>'Hypoth. Bill Impact (TOU-A)'!F37</f>
        <v>355.76369153718997</v>
      </c>
      <c r="F102" s="161">
        <f>'Hypoth. Bill Impact (TOU-A)'!H37</f>
        <v>355.76369153718997</v>
      </c>
      <c r="G102" s="252">
        <f t="shared" si="22"/>
        <v>-8.2084026642549324E-3</v>
      </c>
      <c r="H102" s="397">
        <f t="shared" si="22"/>
        <v>0</v>
      </c>
      <c r="I102" s="481"/>
      <c r="J102" s="482"/>
    </row>
    <row r="103" spans="2:10" ht="15" thickBot="1">
      <c r="B103" s="390"/>
      <c r="C103" s="341" t="s">
        <v>414</v>
      </c>
      <c r="D103" s="162">
        <f>'Hypoth. Bill Impact (TOU-A)'!D38</f>
        <v>874.89219211219029</v>
      </c>
      <c r="E103" s="162">
        <f>'Hypoth. Bill Impact (TOU-A)'!F38</f>
        <v>867.54214493654013</v>
      </c>
      <c r="F103" s="162">
        <f>'Hypoth. Bill Impact (TOU-A)'!H38</f>
        <v>867.54214493654013</v>
      </c>
      <c r="G103" s="245">
        <f t="shared" si="22"/>
        <v>-8.401089004926976E-3</v>
      </c>
      <c r="H103" s="398">
        <f t="shared" si="22"/>
        <v>0</v>
      </c>
      <c r="I103" s="481"/>
      <c r="J103" s="482"/>
    </row>
  </sheetData>
  <mergeCells count="81">
    <mergeCell ref="F10:G12"/>
    <mergeCell ref="M5:N5"/>
    <mergeCell ref="O5:P5"/>
    <mergeCell ref="B44:H44"/>
    <mergeCell ref="B87:H87"/>
    <mergeCell ref="K40:L40"/>
    <mergeCell ref="B38:H38"/>
    <mergeCell ref="B40:C40"/>
    <mergeCell ref="B41:C41"/>
    <mergeCell ref="B42:C42"/>
    <mergeCell ref="K41:L41"/>
    <mergeCell ref="B36:C36"/>
    <mergeCell ref="B25:H25"/>
    <mergeCell ref="K25:Q25"/>
    <mergeCell ref="B26:C26"/>
    <mergeCell ref="K26:L26"/>
    <mergeCell ref="B93:H93"/>
    <mergeCell ref="B99:H99"/>
    <mergeCell ref="B47:C47"/>
    <mergeCell ref="B48:C48"/>
    <mergeCell ref="B60:C60"/>
    <mergeCell ref="B82:C82"/>
    <mergeCell ref="B84:C84"/>
    <mergeCell ref="B68:H68"/>
    <mergeCell ref="B70:C70"/>
    <mergeCell ref="B72:C72"/>
    <mergeCell ref="B74:H74"/>
    <mergeCell ref="B76:C76"/>
    <mergeCell ref="B78:C78"/>
    <mergeCell ref="B80:H80"/>
    <mergeCell ref="B54:C54"/>
    <mergeCell ref="B64:C64"/>
    <mergeCell ref="B27:C27"/>
    <mergeCell ref="K27:L27"/>
    <mergeCell ref="B29:C29"/>
    <mergeCell ref="K29:L29"/>
    <mergeCell ref="B32:H32"/>
    <mergeCell ref="B53:C53"/>
    <mergeCell ref="B34:C34"/>
    <mergeCell ref="B35:C35"/>
    <mergeCell ref="K34:L34"/>
    <mergeCell ref="K35:L35"/>
    <mergeCell ref="K46:L46"/>
    <mergeCell ref="B46:C46"/>
    <mergeCell ref="K68:Q68"/>
    <mergeCell ref="K64:L64"/>
    <mergeCell ref="B65:C65"/>
    <mergeCell ref="B66:C66"/>
    <mergeCell ref="K47:L47"/>
    <mergeCell ref="K65:L65"/>
    <mergeCell ref="B56:H56"/>
    <mergeCell ref="B58:C58"/>
    <mergeCell ref="B59:C59"/>
    <mergeCell ref="B62:H62"/>
    <mergeCell ref="K58:L58"/>
    <mergeCell ref="K59:L59"/>
    <mergeCell ref="K52:L52"/>
    <mergeCell ref="K53:L53"/>
    <mergeCell ref="B50:H50"/>
    <mergeCell ref="B52:C52"/>
    <mergeCell ref="K80:Q80"/>
    <mergeCell ref="K72:L72"/>
    <mergeCell ref="K70:L70"/>
    <mergeCell ref="K76:L76"/>
    <mergeCell ref="K74:Q74"/>
    <mergeCell ref="I26:J26"/>
    <mergeCell ref="K84:L84"/>
    <mergeCell ref="K82:L82"/>
    <mergeCell ref="K32:Q32"/>
    <mergeCell ref="K36:L36"/>
    <mergeCell ref="K38:Q38"/>
    <mergeCell ref="K42:L42"/>
    <mergeCell ref="K44:Q44"/>
    <mergeCell ref="K48:L48"/>
    <mergeCell ref="K50:Q50"/>
    <mergeCell ref="K54:L54"/>
    <mergeCell ref="K56:Q56"/>
    <mergeCell ref="K60:L60"/>
    <mergeCell ref="K62:Q62"/>
    <mergeCell ref="K66:L66"/>
    <mergeCell ref="K78:L78"/>
  </mergeCells>
  <dataValidations disablePrompts="1" count="2">
    <dataValidation type="list" allowBlank="1" showInputMessage="1" showErrorMessage="1" sqref="D3" xr:uid="{7E320ACF-B98D-4476-95E8-0C8122144F35}">
      <formula1>"Coastal, Mountain, Desert, Inland, ALL"</formula1>
    </dataValidation>
    <dataValidation type="list" allowBlank="1" showInputMessage="1" showErrorMessage="1" sqref="H8" xr:uid="{1800F55C-02A4-487B-8FB1-0AAA06745D82}">
      <formula1>"Y,N"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4A19-63CB-4434-934A-642AE3437D08}">
  <sheetPr codeName="Sheet9">
    <tabColor rgb="FF92D050"/>
  </sheetPr>
  <dimension ref="A1:AC84"/>
  <sheetViews>
    <sheetView zoomScale="80" zoomScaleNormal="80" workbookViewId="0"/>
  </sheetViews>
  <sheetFormatPr defaultColWidth="8.88671875" defaultRowHeight="14.4"/>
  <cols>
    <col min="1" max="1" width="3.5546875" style="6" customWidth="1"/>
    <col min="2" max="2" width="19.44140625" style="6" customWidth="1"/>
    <col min="3" max="5" width="22.109375" style="6" customWidth="1"/>
    <col min="6" max="6" width="20" style="6" customWidth="1"/>
    <col min="7" max="7" width="13.5546875" style="6" customWidth="1"/>
    <col min="8" max="8" width="14.109375" style="6" customWidth="1"/>
    <col min="9" max="9" width="13.5546875" style="6" customWidth="1"/>
    <col min="10" max="10" width="15.109375" style="6" customWidth="1"/>
    <col min="11" max="11" width="14.88671875" style="6" customWidth="1"/>
    <col min="12" max="14" width="15.44140625" style="6" customWidth="1"/>
    <col min="15" max="15" width="13" style="6" customWidth="1"/>
    <col min="16" max="16" width="17.109375" style="6" bestFit="1" customWidth="1"/>
    <col min="17" max="17" width="19.44140625" style="6" customWidth="1"/>
    <col min="18" max="18" width="13" style="6" customWidth="1"/>
    <col min="19" max="20" width="14" style="6" customWidth="1"/>
    <col min="21" max="21" width="15" style="6" customWidth="1"/>
    <col min="22" max="22" width="14.109375" style="6" customWidth="1"/>
    <col min="23" max="23" width="14.88671875" style="6" bestFit="1" customWidth="1"/>
    <col min="24" max="24" width="13.5546875" style="6" customWidth="1"/>
    <col min="25" max="29" width="13" style="6" customWidth="1"/>
    <col min="30" max="16384" width="8.88671875" style="6"/>
  </cols>
  <sheetData>
    <row r="1" spans="1:27" s="171" customFormat="1" ht="25.5" customHeight="1">
      <c r="A1" s="4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</row>
    <row r="2" spans="1:27" ht="15.6">
      <c r="B2" s="78"/>
      <c r="C2" s="40"/>
      <c r="D2" s="40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7">
      <c r="B3" s="79"/>
      <c r="C3" s="41" t="s">
        <v>161</v>
      </c>
      <c r="D3" s="180"/>
      <c r="R3" s="81"/>
      <c r="S3" s="81"/>
      <c r="T3" s="81"/>
      <c r="U3" s="81"/>
      <c r="V3" s="81"/>
      <c r="W3" s="81"/>
      <c r="X3" s="81"/>
    </row>
    <row r="4" spans="1:27" ht="15.6">
      <c r="B4" s="188" t="s">
        <v>3</v>
      </c>
      <c r="C4" s="191">
        <f>'Hypothetical Summary'!D6</f>
        <v>0</v>
      </c>
      <c r="D4" s="1"/>
      <c r="G4" s="573" t="s">
        <v>163</v>
      </c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41"/>
      <c r="V4" s="41"/>
      <c r="W4" s="41"/>
      <c r="X4" s="41"/>
      <c r="Y4" s="41"/>
      <c r="Z4" s="41"/>
      <c r="AA4" s="41"/>
    </row>
    <row r="5" spans="1:27" ht="31.2">
      <c r="B5" s="188" t="s">
        <v>389</v>
      </c>
      <c r="C5" s="191">
        <f>'Hypothetical Summary'!D7</f>
        <v>0</v>
      </c>
      <c r="D5" s="1"/>
      <c r="F5" s="1"/>
      <c r="G5" s="84" t="s">
        <v>3</v>
      </c>
      <c r="H5" s="84" t="s">
        <v>389</v>
      </c>
      <c r="I5" s="84" t="s">
        <v>59</v>
      </c>
      <c r="J5" s="84" t="s">
        <v>5</v>
      </c>
      <c r="K5" s="84" t="s">
        <v>98</v>
      </c>
      <c r="L5" s="84" t="s">
        <v>14</v>
      </c>
      <c r="M5" s="84" t="s">
        <v>80</v>
      </c>
      <c r="N5" s="84" t="s">
        <v>100</v>
      </c>
      <c r="O5" s="84" t="s">
        <v>97</v>
      </c>
      <c r="P5" s="84" t="s">
        <v>78</v>
      </c>
      <c r="Q5" s="84" t="s">
        <v>10</v>
      </c>
      <c r="R5" s="84" t="s">
        <v>225</v>
      </c>
      <c r="S5" s="84" t="s">
        <v>87</v>
      </c>
      <c r="T5" s="84" t="s">
        <v>256</v>
      </c>
    </row>
    <row r="6" spans="1:27" ht="15.6">
      <c r="B6" s="189" t="s">
        <v>59</v>
      </c>
      <c r="C6" s="191">
        <f>'Hypothetical Summary'!D8</f>
        <v>0</v>
      </c>
      <c r="D6" s="1"/>
      <c r="F6" s="1" t="s">
        <v>149</v>
      </c>
      <c r="G6" s="85">
        <f>'SAR and RAR'!H6</f>
        <v>0.40275707177337122</v>
      </c>
      <c r="H6" s="85">
        <f>'SAR and RAR'!I6</f>
        <v>0.19327545344183236</v>
      </c>
      <c r="I6" s="85">
        <f>'SAR and RAR'!J6</f>
        <v>0.39851332033456133</v>
      </c>
      <c r="J6" s="85">
        <f>'SAR and RAR'!K6</f>
        <v>0.42564546794027941</v>
      </c>
      <c r="K6" s="85">
        <f>'SAR and RAR'!L6</f>
        <v>0.93344443986239845</v>
      </c>
      <c r="L6" s="85">
        <f>'SAR and RAR'!M6</f>
        <v>0.40427529966097436</v>
      </c>
      <c r="M6" s="85">
        <f>'SAR and RAR'!N6</f>
        <v>0.37542055388231838</v>
      </c>
      <c r="N6" s="85">
        <f>'SAR and RAR'!O6</f>
        <v>0.35235621245744458</v>
      </c>
      <c r="O6" s="85">
        <f>'SAR and RAR'!P6</f>
        <v>0</v>
      </c>
      <c r="P6" s="85">
        <f>'SAR and RAR'!Q6</f>
        <v>0</v>
      </c>
      <c r="Q6" s="85">
        <f>'SAR and RAR'!R6</f>
        <v>0.48023679481700299</v>
      </c>
      <c r="R6" s="85">
        <f>'SAR and RAR'!S6</f>
        <v>0.36967490452336516</v>
      </c>
      <c r="S6" s="85">
        <f>'SAR and RAR'!T6</f>
        <v>0.31719588101999252</v>
      </c>
      <c r="T6" s="85">
        <f>'SAR and RAR'!U6</f>
        <v>0.40671686989565198</v>
      </c>
    </row>
    <row r="7" spans="1:27" ht="15.6">
      <c r="B7" s="189" t="s">
        <v>5</v>
      </c>
      <c r="C7" s="191">
        <f>'Hypothetical Summary'!D9</f>
        <v>0</v>
      </c>
      <c r="D7" s="1"/>
      <c r="F7" s="1"/>
      <c r="G7" s="152"/>
      <c r="H7" s="152"/>
      <c r="I7" s="152"/>
      <c r="J7" s="152"/>
      <c r="K7" s="152"/>
      <c r="L7" s="152"/>
      <c r="M7" s="152"/>
      <c r="N7" s="152"/>
      <c r="O7" s="86"/>
      <c r="P7" s="86"/>
      <c r="Q7" s="86"/>
      <c r="R7" s="86"/>
      <c r="S7" s="86"/>
      <c r="T7" s="153"/>
    </row>
    <row r="8" spans="1:27" ht="15.6" customHeight="1">
      <c r="B8" s="189" t="s">
        <v>98</v>
      </c>
      <c r="C8" s="191">
        <f>'Hypothetical Summary'!D10</f>
        <v>0</v>
      </c>
      <c r="D8" s="1"/>
      <c r="F8" s="87"/>
      <c r="G8" s="573" t="s">
        <v>164</v>
      </c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</row>
    <row r="9" spans="1:27" ht="15.75" customHeight="1">
      <c r="B9" s="189" t="s">
        <v>14</v>
      </c>
      <c r="C9" s="191">
        <f>'Hypothetical Summary'!D11</f>
        <v>0</v>
      </c>
      <c r="D9" s="1"/>
      <c r="F9" s="88" t="s">
        <v>221</v>
      </c>
      <c r="G9" s="84" t="s">
        <v>3</v>
      </c>
      <c r="H9" s="84" t="s">
        <v>389</v>
      </c>
      <c r="I9" s="84" t="s">
        <v>59</v>
      </c>
      <c r="J9" s="84" t="s">
        <v>5</v>
      </c>
      <c r="K9" s="84" t="s">
        <v>98</v>
      </c>
      <c r="L9" s="84" t="s">
        <v>14</v>
      </c>
      <c r="M9" s="84" t="s">
        <v>80</v>
      </c>
      <c r="N9" s="84" t="s">
        <v>100</v>
      </c>
      <c r="O9" s="84" t="s">
        <v>97</v>
      </c>
      <c r="P9" s="84" t="s">
        <v>78</v>
      </c>
      <c r="Q9" s="84" t="s">
        <v>10</v>
      </c>
      <c r="R9" s="84" t="s">
        <v>225</v>
      </c>
      <c r="S9" s="84" t="s">
        <v>87</v>
      </c>
      <c r="T9" s="84" t="s">
        <v>256</v>
      </c>
    </row>
    <row r="10" spans="1:27" ht="15.6">
      <c r="B10" s="189" t="s">
        <v>80</v>
      </c>
      <c r="C10" s="191">
        <f>'Hypothetical Summary'!D12</f>
        <v>0</v>
      </c>
      <c r="D10" s="1"/>
      <c r="F10" s="1" t="s">
        <v>149</v>
      </c>
      <c r="G10" s="89">
        <f>G6*G11</f>
        <v>0</v>
      </c>
      <c r="H10" s="89">
        <f>H6*H11</f>
        <v>0</v>
      </c>
      <c r="I10" s="89">
        <f t="shared" ref="I10:T10" si="0">I6*I11</f>
        <v>0</v>
      </c>
      <c r="J10" s="89">
        <f>J6*J11</f>
        <v>0</v>
      </c>
      <c r="K10" s="89">
        <f t="shared" si="0"/>
        <v>0</v>
      </c>
      <c r="L10" s="89">
        <f t="shared" si="0"/>
        <v>0</v>
      </c>
      <c r="M10" s="89">
        <f t="shared" si="0"/>
        <v>0</v>
      </c>
      <c r="N10" s="89">
        <f t="shared" si="0"/>
        <v>0</v>
      </c>
      <c r="O10" s="89">
        <f t="shared" si="0"/>
        <v>0</v>
      </c>
      <c r="P10" s="89">
        <f t="shared" si="0"/>
        <v>0</v>
      </c>
      <c r="Q10" s="89">
        <f t="shared" si="0"/>
        <v>0</v>
      </c>
      <c r="R10" s="89">
        <f>R6*R11</f>
        <v>0</v>
      </c>
      <c r="S10" s="89">
        <f t="shared" si="0"/>
        <v>0</v>
      </c>
      <c r="T10" s="89">
        <f t="shared" si="0"/>
        <v>0</v>
      </c>
      <c r="U10" s="89">
        <f>SUM(G10:T10)</f>
        <v>0</v>
      </c>
      <c r="V10" s="177"/>
    </row>
    <row r="11" spans="1:27" ht="15.6">
      <c r="B11" s="190" t="s">
        <v>100</v>
      </c>
      <c r="C11" s="191">
        <f>'Hypothetical Summary'!D13</f>
        <v>0</v>
      </c>
      <c r="D11" s="1"/>
      <c r="F11" s="1" t="s">
        <v>165</v>
      </c>
      <c r="G11" s="108">
        <f>C4</f>
        <v>0</v>
      </c>
      <c r="H11" s="108">
        <f>C5</f>
        <v>0</v>
      </c>
      <c r="I11" s="108">
        <f>C6</f>
        <v>0</v>
      </c>
      <c r="J11" s="108">
        <f>C7</f>
        <v>0</v>
      </c>
      <c r="K11" s="108">
        <f>C8</f>
        <v>0</v>
      </c>
      <c r="L11" s="108">
        <f>C9</f>
        <v>0</v>
      </c>
      <c r="M11" s="108">
        <f>C10</f>
        <v>0</v>
      </c>
      <c r="N11" s="108">
        <f>C11</f>
        <v>0</v>
      </c>
      <c r="O11" s="108">
        <f>C12</f>
        <v>0</v>
      </c>
      <c r="P11" s="108">
        <f>C17</f>
        <v>0</v>
      </c>
      <c r="Q11" s="108">
        <f>C14</f>
        <v>0</v>
      </c>
      <c r="R11" s="108">
        <f>C16</f>
        <v>0</v>
      </c>
      <c r="S11" s="108">
        <f>C15</f>
        <v>0</v>
      </c>
      <c r="T11" s="108">
        <f>C13</f>
        <v>0</v>
      </c>
      <c r="U11" s="89">
        <f>SUM(G11:T11)</f>
        <v>0</v>
      </c>
      <c r="V11" s="176"/>
    </row>
    <row r="12" spans="1:27" ht="15.6">
      <c r="B12" s="189" t="s">
        <v>97</v>
      </c>
      <c r="C12" s="191">
        <f>'Hypothetical Summary'!D14</f>
        <v>0</v>
      </c>
      <c r="D12" s="1"/>
      <c r="F12" s="88"/>
      <c r="U12" s="89"/>
    </row>
    <row r="13" spans="1:27" ht="15.75" customHeight="1">
      <c r="B13" s="189" t="s">
        <v>256</v>
      </c>
      <c r="C13" s="191">
        <f>'Hypothetical Summary'!D15</f>
        <v>0</v>
      </c>
      <c r="D13" s="1"/>
      <c r="F13" s="1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177"/>
    </row>
    <row r="14" spans="1:27" ht="15.75" customHeight="1">
      <c r="B14" s="189" t="s">
        <v>10</v>
      </c>
      <c r="C14" s="191">
        <f>'Hypothetical Summary'!D16</f>
        <v>0</v>
      </c>
      <c r="D14" s="1"/>
      <c r="F14" s="1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89"/>
      <c r="V14" s="176"/>
    </row>
    <row r="15" spans="1:27" ht="15.75" customHeight="1">
      <c r="B15" s="189" t="s">
        <v>87</v>
      </c>
      <c r="C15" s="191">
        <f>'Hypothetical Summary'!D17</f>
        <v>0</v>
      </c>
      <c r="D15" s="1"/>
      <c r="F15" s="1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89"/>
      <c r="V15" s="176"/>
    </row>
    <row r="16" spans="1:27" ht="15.6">
      <c r="B16" s="189" t="s">
        <v>225</v>
      </c>
      <c r="C16" s="191">
        <f>'Hypothetical Summary'!D18</f>
        <v>0</v>
      </c>
      <c r="D16" s="1"/>
      <c r="F16" s="198"/>
      <c r="G16" s="39"/>
      <c r="H16" s="39"/>
      <c r="I16" s="39"/>
      <c r="J16" s="39"/>
      <c r="K16" s="87"/>
      <c r="Z16" s="1"/>
      <c r="AA16" s="92" t="s">
        <v>221</v>
      </c>
    </row>
    <row r="17" spans="2:29" ht="15.6">
      <c r="B17" s="189" t="s">
        <v>78</v>
      </c>
      <c r="C17" s="197">
        <f>'Hypothetical Summary'!D19</f>
        <v>0</v>
      </c>
      <c r="D17" s="1"/>
      <c r="U17" s="575" t="s">
        <v>263</v>
      </c>
      <c r="V17" s="576"/>
      <c r="W17" s="575" t="s">
        <v>264</v>
      </c>
      <c r="X17" s="576"/>
      <c r="Z17" s="93" t="s">
        <v>167</v>
      </c>
      <c r="AA17" s="166">
        <f>'SAR and RAR'!AD16</f>
        <v>0.22330588938421425</v>
      </c>
      <c r="AC17" s="167"/>
    </row>
    <row r="18" spans="2:29" ht="15.6">
      <c r="B18" s="1" t="s">
        <v>113</v>
      </c>
      <c r="C18" s="191">
        <f>SUM(C4:C17)</f>
        <v>0</v>
      </c>
      <c r="D18" s="1"/>
      <c r="F18" s="87"/>
      <c r="G18" s="579" t="s">
        <v>168</v>
      </c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8"/>
      <c r="U18" s="577" t="s">
        <v>169</v>
      </c>
      <c r="V18" s="578"/>
      <c r="W18" s="577" t="s">
        <v>169</v>
      </c>
      <c r="X18" s="578"/>
      <c r="Z18" s="93" t="s">
        <v>170</v>
      </c>
      <c r="AA18" s="85">
        <f>'SAR and RAR'!AD17</f>
        <v>0.35</v>
      </c>
    </row>
    <row r="19" spans="2:29" ht="31.2">
      <c r="B19" s="2"/>
      <c r="C19" s="191"/>
      <c r="D19" s="1"/>
      <c r="G19" s="84" t="s">
        <v>3</v>
      </c>
      <c r="H19" s="84" t="s">
        <v>389</v>
      </c>
      <c r="I19" s="84" t="s">
        <v>59</v>
      </c>
      <c r="J19" s="84" t="s">
        <v>5</v>
      </c>
      <c r="K19" s="84" t="s">
        <v>98</v>
      </c>
      <c r="L19" s="84" t="s">
        <v>14</v>
      </c>
      <c r="M19" s="84" t="s">
        <v>80</v>
      </c>
      <c r="N19" s="84" t="s">
        <v>100</v>
      </c>
      <c r="O19" s="84" t="s">
        <v>97</v>
      </c>
      <c r="P19" s="84" t="s">
        <v>78</v>
      </c>
      <c r="Q19" s="84" t="s">
        <v>10</v>
      </c>
      <c r="R19" s="84" t="s">
        <v>225</v>
      </c>
      <c r="S19" s="84" t="s">
        <v>87</v>
      </c>
      <c r="T19" s="84" t="s">
        <v>256</v>
      </c>
      <c r="U19" s="94" t="s">
        <v>113</v>
      </c>
      <c r="V19" s="20" t="s">
        <v>171</v>
      </c>
      <c r="W19" s="94" t="s">
        <v>113</v>
      </c>
      <c r="X19" s="20" t="s">
        <v>171</v>
      </c>
      <c r="Z19" s="1"/>
      <c r="AA19" s="1"/>
      <c r="AC19" s="98"/>
    </row>
    <row r="20" spans="2:29" ht="15.6">
      <c r="B20" s="2"/>
      <c r="C20" s="2"/>
      <c r="D20" s="1"/>
      <c r="E20" s="87"/>
      <c r="F20" s="1" t="s">
        <v>149</v>
      </c>
      <c r="G20" s="85">
        <v>1</v>
      </c>
      <c r="H20" s="85">
        <v>0</v>
      </c>
      <c r="I20" s="85">
        <v>1</v>
      </c>
      <c r="J20" s="85">
        <v>1</v>
      </c>
      <c r="K20" s="85">
        <v>1</v>
      </c>
      <c r="L20" s="85">
        <v>1</v>
      </c>
      <c r="M20" s="85">
        <v>1</v>
      </c>
      <c r="N20" s="85">
        <v>1</v>
      </c>
      <c r="O20" s="85">
        <v>1</v>
      </c>
      <c r="P20" s="85">
        <v>1</v>
      </c>
      <c r="Q20" s="85">
        <v>1</v>
      </c>
      <c r="R20" s="85">
        <v>1</v>
      </c>
      <c r="S20" s="85">
        <v>1</v>
      </c>
      <c r="T20" s="85">
        <v>0</v>
      </c>
      <c r="U20" s="95">
        <f>SUMPRODUCT(I10:S10,I20:S20)</f>
        <v>0</v>
      </c>
      <c r="V20" s="289">
        <f>U20</f>
        <v>0</v>
      </c>
      <c r="W20" s="95">
        <f>SUMPRODUCT(G10,G20)</f>
        <v>0</v>
      </c>
      <c r="X20" s="289">
        <f>W20</f>
        <v>0</v>
      </c>
      <c r="Z20" s="1"/>
      <c r="AA20" s="1"/>
    </row>
    <row r="21" spans="2:29" ht="15.6">
      <c r="B21" s="2" t="s">
        <v>250</v>
      </c>
      <c r="C21" s="235">
        <f>'Sales Allocations &amp; CCC'!S3</f>
        <v>8.0000000000000004E-4</v>
      </c>
      <c r="D21" s="235"/>
      <c r="F21" s="1" t="s">
        <v>165</v>
      </c>
      <c r="G21" s="85">
        <v>1</v>
      </c>
      <c r="H21" s="85">
        <v>0</v>
      </c>
      <c r="I21" s="85">
        <v>1</v>
      </c>
      <c r="J21" s="85">
        <v>1</v>
      </c>
      <c r="K21" s="85">
        <v>1</v>
      </c>
      <c r="L21" s="85">
        <v>1</v>
      </c>
      <c r="M21" s="85">
        <v>1</v>
      </c>
      <c r="N21" s="85">
        <v>1</v>
      </c>
      <c r="O21" s="85">
        <v>1</v>
      </c>
      <c r="P21" s="85">
        <v>1</v>
      </c>
      <c r="Q21" s="85">
        <v>1</v>
      </c>
      <c r="R21" s="85">
        <v>1</v>
      </c>
      <c r="S21" s="85">
        <v>1</v>
      </c>
      <c r="T21" s="85">
        <v>0</v>
      </c>
      <c r="U21" s="95">
        <f>SUMPRODUCT(I11:S11,I21:S21)</f>
        <v>0</v>
      </c>
      <c r="V21" s="289">
        <f>U21</f>
        <v>0</v>
      </c>
      <c r="W21" s="95">
        <f>SUMPRODUCT(G11,G21)</f>
        <v>0</v>
      </c>
      <c r="X21" s="289">
        <f>W21</f>
        <v>0</v>
      </c>
      <c r="Y21" s="643"/>
      <c r="Z21" s="212" t="s">
        <v>217</v>
      </c>
      <c r="AA21" s="199">
        <f>'SAR and RAR'!AD20</f>
        <v>0.32826850141764163</v>
      </c>
      <c r="AC21" s="1"/>
    </row>
    <row r="22" spans="2:29" ht="15.6">
      <c r="B22" s="2"/>
      <c r="C22" s="2"/>
      <c r="D22" s="1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T22" s="1"/>
      <c r="U22" s="108"/>
      <c r="Y22" s="1"/>
      <c r="Z22" s="1"/>
      <c r="AB22" s="168"/>
    </row>
    <row r="23" spans="2:29" ht="15.6">
      <c r="B23" s="2"/>
      <c r="C23" s="570" t="s">
        <v>442</v>
      </c>
      <c r="D23" s="571"/>
      <c r="E23" s="572"/>
      <c r="F23" s="41"/>
      <c r="T23" s="83"/>
      <c r="U23" s="1"/>
      <c r="Z23" s="100"/>
    </row>
    <row r="24" spans="2:29" ht="31.2">
      <c r="B24" s="1"/>
      <c r="C24" s="83" t="s">
        <v>339</v>
      </c>
      <c r="D24" s="83" t="s">
        <v>340</v>
      </c>
      <c r="E24" s="83" t="s">
        <v>341</v>
      </c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"/>
      <c r="T24" s="201"/>
      <c r="U24" s="201"/>
      <c r="V24" s="1"/>
      <c r="W24" s="1"/>
      <c r="Y24" s="1"/>
      <c r="Z24" s="1"/>
    </row>
    <row r="25" spans="2:29" ht="15.6">
      <c r="B25" s="106" t="s">
        <v>149</v>
      </c>
      <c r="C25" s="237">
        <f>'SAR and RAR'!C25</f>
        <v>6059160.2764376383</v>
      </c>
      <c r="D25" s="237">
        <f>'SAR and RAR'!D25</f>
        <v>7793802.9381372696</v>
      </c>
      <c r="E25" s="4">
        <f>'SAR and RAR'!E25</f>
        <v>1515275.3552196764</v>
      </c>
      <c r="F25" s="20"/>
      <c r="G25" s="101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1"/>
      <c r="U25" s="201"/>
      <c r="V25" s="102"/>
      <c r="W25" s="102"/>
      <c r="Y25" s="1"/>
      <c r="Z25" s="1"/>
    </row>
    <row r="26" spans="2:29" ht="15.6">
      <c r="B26" s="106" t="s">
        <v>165</v>
      </c>
      <c r="C26" s="237">
        <f>'SAR and RAR'!C26</f>
        <v>18290445.652985182</v>
      </c>
      <c r="D26" s="237">
        <f>'SAR and RAR'!D26</f>
        <v>20272867.503732543</v>
      </c>
      <c r="E26" s="4">
        <f>'SAR and RAR'!E26</f>
        <v>3877834.6865865677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03"/>
      <c r="U26" s="104"/>
      <c r="V26" s="104"/>
      <c r="W26" s="104"/>
      <c r="Y26" s="1"/>
      <c r="Z26" s="1"/>
    </row>
    <row r="27" spans="2:29" ht="15.6">
      <c r="B27" s="2"/>
      <c r="C27" s="2"/>
      <c r="E27" s="20"/>
      <c r="F27" s="564" t="s">
        <v>172</v>
      </c>
      <c r="G27" s="565"/>
      <c r="H27" s="565"/>
      <c r="I27" s="566"/>
      <c r="J27" s="2"/>
      <c r="K27" s="2"/>
      <c r="O27" s="1"/>
      <c r="P27" s="564" t="s">
        <v>173</v>
      </c>
      <c r="Q27" s="565"/>
      <c r="R27" s="565"/>
      <c r="S27" s="565"/>
      <c r="T27" s="566"/>
      <c r="U27" s="202"/>
      <c r="V27" s="1"/>
      <c r="W27" s="105"/>
      <c r="AA27" s="1"/>
      <c r="AB27" s="1"/>
    </row>
    <row r="28" spans="2:29" ht="46.8">
      <c r="B28" s="2"/>
      <c r="C28" s="2"/>
      <c r="E28" s="20"/>
      <c r="F28" s="83" t="str">
        <f>Summary!I3&amp;" Authorized Sales Forecast - Bundled"</f>
        <v>2026 Authorized Sales Forecast - Bundled</v>
      </c>
      <c r="G28" s="83" t="str">
        <f>'SAR and RAR'!H23</f>
        <v>10/1/25 Avg Rates(sales adj.)</v>
      </c>
      <c r="H28" s="83" t="s">
        <v>222</v>
      </c>
      <c r="I28" s="83" t="s">
        <v>223</v>
      </c>
      <c r="J28" s="83"/>
      <c r="K28" s="83"/>
      <c r="O28" s="1"/>
      <c r="P28" s="83" t="str">
        <f>F28</f>
        <v>2026 Authorized Sales Forecast - Bundled</v>
      </c>
      <c r="Q28" s="83" t="str">
        <f>G28</f>
        <v>10/1/25 Avg Rates(sales adj.)</v>
      </c>
      <c r="R28" s="83" t="s">
        <v>222</v>
      </c>
      <c r="S28" s="83" t="s">
        <v>223</v>
      </c>
      <c r="U28" s="83"/>
      <c r="V28" s="83"/>
      <c r="W28" s="105"/>
      <c r="Y28" s="52"/>
      <c r="Z28" s="437">
        <f>'SAR and RAR'!AC23</f>
        <v>45809</v>
      </c>
      <c r="AA28" s="437">
        <f>'SAR and RAR'!AD23</f>
        <v>45931</v>
      </c>
      <c r="AB28" s="437">
        <f>'SAR and RAR'!AE23</f>
        <v>45809</v>
      </c>
      <c r="AC28" s="437">
        <f>'SAR and RAR'!AF23</f>
        <v>45931</v>
      </c>
    </row>
    <row r="29" spans="2:29" ht="15.6">
      <c r="B29" s="2"/>
      <c r="C29" s="2"/>
      <c r="E29" s="20"/>
      <c r="F29" s="636">
        <f>'SAR and RAR'!G24</f>
        <v>1313398.550759305</v>
      </c>
      <c r="G29" s="634">
        <f>IF('Hypothetical Summary'!$H$8="N",AC31,AA31)</f>
        <v>37.26</v>
      </c>
      <c r="H29" s="478">
        <f>(SUM($I10:$K10,$P10:$Q10,$S10)/(IF('Hypothetical Summary'!$D$2=2025,$C25,$C35))*100)+(SUM($K10:$O10,$R10)/(IF('Hypothetical Summary'!$D$2=2025,$D25,$D35))*100)+($G10/(IF('Hypothetical Summary'!$D$2=2025,$E25,$E35))*100)+G29</f>
        <v>37.26</v>
      </c>
      <c r="I29" s="449">
        <f>H29/G29-1</f>
        <v>0</v>
      </c>
      <c r="J29" s="107"/>
      <c r="K29" s="107"/>
      <c r="O29" s="106" t="s">
        <v>149</v>
      </c>
      <c r="P29" s="97">
        <f>'SAR and RAR'!R24</f>
        <v>5529244.7570373612</v>
      </c>
      <c r="Q29" s="635">
        <v>35.794815973627038</v>
      </c>
      <c r="R29" s="478">
        <f>H29+($Q29-$G29)+($H10/((IF('Hypothetical Summary'!$D$2=2025,$C25,$C35))-(IF('Hypothetical Summary'!$D$2=2025,$E25,$E35)))*100)+($T10/((IF('Hypothetical Summary'!$D$2=2025,$C25,$C35))-(IF('Hypothetical Summary'!$D$2=2025,$E25,$E35)))*100)</f>
        <v>35.794815973627038</v>
      </c>
      <c r="S29" s="449">
        <f>R29/Q29-1</f>
        <v>0</v>
      </c>
      <c r="U29" s="107"/>
      <c r="V29" s="107"/>
      <c r="W29" s="105"/>
      <c r="Y29" s="52"/>
      <c r="Z29" s="574" t="s">
        <v>451</v>
      </c>
      <c r="AA29" s="574"/>
      <c r="AB29" s="574" t="s">
        <v>450</v>
      </c>
      <c r="AC29" s="574"/>
    </row>
    <row r="30" spans="2:29" ht="15.6">
      <c r="B30" s="2"/>
      <c r="C30" s="2"/>
      <c r="E30" s="20"/>
      <c r="F30" s="636">
        <f>'SAR and RAR'!G25</f>
        <v>3218717.0926473769</v>
      </c>
      <c r="G30" s="634">
        <f>IF('Hypothetical Summary'!$H$8="N",AC32,AA32)</f>
        <v>35.117000000000004</v>
      </c>
      <c r="H30" s="478">
        <f>(SUM($I11:$J11,$P11:$Q11,$S11)/(IF('Hypothetical Summary'!$D$2=2025,$C26,$C36))*100)+(SUM($K11:$O11,$R11)/(IF('Hypothetical Summary'!$D$2=2025,$D26,$D36))*100)+($G11/(IF('Hypothetical Summary'!$D$2=2025,$E26,$E36))*100)+G30</f>
        <v>35.117000000000004</v>
      </c>
      <c r="I30" s="449">
        <f>H30/G30-1</f>
        <v>0</v>
      </c>
      <c r="J30" s="107"/>
      <c r="K30" s="107"/>
      <c r="O30" s="106" t="s">
        <v>165</v>
      </c>
      <c r="P30" s="97">
        <f>'SAR and RAR'!R25</f>
        <v>17431428.835748378</v>
      </c>
      <c r="Q30" s="635">
        <v>33.966275336408145</v>
      </c>
      <c r="R30" s="478">
        <f>H30+($Q30-$G30)+($T11/((IF('Hypothetical Summary'!$D$2=2025,$C26,$C36))-(IF('Hypothetical Summary'!$D$2=2025,$E26,$E36)))*100)+($H11/((IF('Hypothetical Summary'!$D$2=2025,$C26,$C36))-(IF('Hypothetical Summary'!$D$2=2025,$E26,$E36)))*100)</f>
        <v>33.966275336408145</v>
      </c>
      <c r="S30" s="449">
        <f>R30/Q30-1</f>
        <v>0</v>
      </c>
      <c r="U30" s="107"/>
      <c r="V30" s="107"/>
      <c r="W30" s="109"/>
      <c r="Y30" s="52" t="s">
        <v>341</v>
      </c>
      <c r="Z30" s="52"/>
      <c r="AA30" s="52"/>
      <c r="AB30" s="52"/>
      <c r="AC30" s="52"/>
    </row>
    <row r="31" spans="2:29" ht="15.6">
      <c r="B31" s="2"/>
      <c r="C31" s="2"/>
      <c r="E31" s="20"/>
      <c r="R31" s="1"/>
      <c r="S31" s="1"/>
      <c r="T31" s="103"/>
      <c r="U31" s="104"/>
      <c r="V31" s="103"/>
      <c r="W31" s="105"/>
      <c r="Y31" s="52" t="s">
        <v>149</v>
      </c>
      <c r="Z31" s="440">
        <f>'SAR and RAR'!AC26</f>
        <v>37.777000000000001</v>
      </c>
      <c r="AA31" s="440">
        <f>'SAR and RAR'!AD26</f>
        <v>37.26</v>
      </c>
      <c r="AB31" s="440">
        <f>'SAR and RAR'!AE26</f>
        <v>41.541999999999994</v>
      </c>
      <c r="AC31" s="440">
        <f>'SAR and RAR'!AF26</f>
        <v>41.024999999999999</v>
      </c>
    </row>
    <row r="32" spans="2:29" ht="15.6">
      <c r="R32" s="1"/>
      <c r="S32" s="1"/>
      <c r="T32" s="103"/>
      <c r="U32" s="104"/>
      <c r="V32" s="103"/>
      <c r="W32" s="109"/>
      <c r="X32" s="109"/>
      <c r="Y32" s="52" t="s">
        <v>165</v>
      </c>
      <c r="Z32" s="440">
        <f>'SAR and RAR'!AC27</f>
        <v>35.430999999999997</v>
      </c>
      <c r="AA32" s="440">
        <f>'SAR and RAR'!AD27</f>
        <v>35.117000000000004</v>
      </c>
      <c r="AB32" s="440">
        <f>'SAR and RAR'!AE27</f>
        <v>36.778999999999996</v>
      </c>
      <c r="AC32" s="440">
        <f>'SAR and RAR'!AF27</f>
        <v>36.465000000000003</v>
      </c>
    </row>
    <row r="33" spans="2:25" ht="15.6">
      <c r="C33" s="570" t="s">
        <v>508</v>
      </c>
      <c r="D33" s="571"/>
      <c r="E33" s="572"/>
      <c r="F33" s="285"/>
      <c r="G33" s="285"/>
      <c r="H33" s="285"/>
      <c r="I33" s="20"/>
      <c r="J33" s="20"/>
      <c r="K33" s="20"/>
      <c r="L33" s="1"/>
      <c r="M33" s="1"/>
      <c r="N33" s="1"/>
      <c r="O33" s="1"/>
      <c r="P33" s="1"/>
      <c r="Q33" s="1"/>
      <c r="R33" s="1"/>
      <c r="S33" s="1"/>
      <c r="T33" s="103"/>
      <c r="U33" s="104"/>
      <c r="V33" s="103"/>
      <c r="W33" s="109"/>
      <c r="X33" s="109"/>
      <c r="Y33" s="105"/>
    </row>
    <row r="34" spans="2:25" ht="31.2">
      <c r="B34" s="1"/>
      <c r="C34" s="83" t="s">
        <v>339</v>
      </c>
      <c r="D34" s="83" t="s">
        <v>340</v>
      </c>
      <c r="E34" s="83" t="s">
        <v>341</v>
      </c>
      <c r="F34" s="83"/>
      <c r="G34" s="83"/>
      <c r="H34" s="319"/>
      <c r="I34" s="20"/>
      <c r="J34" s="20"/>
      <c r="K34" s="20"/>
      <c r="L34" s="1"/>
      <c r="M34" s="1"/>
      <c r="N34" s="1"/>
      <c r="O34" s="1"/>
      <c r="P34" s="1"/>
      <c r="Q34" s="448"/>
      <c r="R34" s="1"/>
      <c r="S34" s="1"/>
      <c r="T34" s="103"/>
      <c r="U34" s="104"/>
      <c r="V34" s="103"/>
      <c r="W34" s="105"/>
      <c r="X34" s="109"/>
      <c r="Y34" s="105"/>
    </row>
    <row r="35" spans="2:25" ht="15.6">
      <c r="B35" s="106" t="s">
        <v>149</v>
      </c>
      <c r="C35" s="313">
        <f>'SAR and RAR'!C38</f>
        <v>5529244.7570373612</v>
      </c>
      <c r="D35" s="313">
        <f>'SAR and RAR'!D38</f>
        <v>7311830.3174004517</v>
      </c>
      <c r="E35" s="4">
        <f>'SAR and RAR'!E38</f>
        <v>1313398.550759305</v>
      </c>
      <c r="F35" s="3"/>
      <c r="G35" s="4"/>
      <c r="H35" s="5"/>
      <c r="I35" s="20"/>
      <c r="J35" s="20"/>
      <c r="K35" s="20"/>
      <c r="L35" s="1"/>
      <c r="M35" s="1"/>
      <c r="N35" s="1"/>
      <c r="O35" s="1"/>
      <c r="P35" s="1"/>
      <c r="Q35" s="1"/>
      <c r="R35" s="1"/>
      <c r="S35" s="1"/>
      <c r="T35" s="103"/>
      <c r="U35" s="104"/>
      <c r="V35" s="104"/>
      <c r="W35" s="102"/>
      <c r="X35" s="109"/>
      <c r="Y35" s="105"/>
    </row>
    <row r="36" spans="2:25" ht="15.6">
      <c r="B36" s="106" t="s">
        <v>165</v>
      </c>
      <c r="C36" s="313">
        <f>'SAR and RAR'!C39</f>
        <v>17431428.835748378</v>
      </c>
      <c r="D36" s="313">
        <f>'SAR and RAR'!D39</f>
        <v>19476455.217814039</v>
      </c>
      <c r="E36" s="4">
        <f>'SAR and RAR'!E39</f>
        <v>3218717.0926473769</v>
      </c>
      <c r="F36" s="3"/>
      <c r="G36" s="4"/>
      <c r="H36" s="5"/>
      <c r="I36" s="20"/>
      <c r="J36" s="20"/>
      <c r="K36" s="20"/>
      <c r="L36" s="1"/>
      <c r="M36" s="1"/>
      <c r="N36" s="1"/>
      <c r="O36" s="1"/>
      <c r="P36" s="1"/>
      <c r="Q36" s="1"/>
      <c r="R36" s="1"/>
      <c r="S36" s="1"/>
      <c r="T36" s="103"/>
      <c r="U36" s="104"/>
      <c r="V36" s="103"/>
      <c r="W36" s="105"/>
      <c r="X36" s="109"/>
      <c r="Y36" s="109"/>
    </row>
    <row r="37" spans="2:25" ht="15.6">
      <c r="E37" s="1"/>
      <c r="F37" s="3"/>
      <c r="G37" s="4"/>
      <c r="H37" s="5"/>
      <c r="I37" s="20"/>
      <c r="J37" s="20"/>
      <c r="K37" s="20"/>
      <c r="L37" s="1"/>
      <c r="M37" s="1"/>
      <c r="N37" s="1"/>
      <c r="O37" s="1"/>
      <c r="P37" s="1"/>
      <c r="Q37" s="1"/>
      <c r="R37" s="1"/>
      <c r="S37" s="1"/>
      <c r="T37" s="103"/>
      <c r="U37" s="104"/>
      <c r="V37" s="104"/>
      <c r="W37" s="104"/>
      <c r="X37" s="104"/>
      <c r="Y37" s="105"/>
    </row>
    <row r="38" spans="2:25" ht="15.6">
      <c r="E38" s="1"/>
      <c r="F38" s="3"/>
      <c r="G38" s="4"/>
      <c r="H38" s="5"/>
      <c r="I38" s="20"/>
      <c r="J38" s="20"/>
      <c r="K38" s="20"/>
      <c r="L38" s="1"/>
      <c r="M38" s="1"/>
      <c r="N38" s="1"/>
      <c r="O38" s="1"/>
      <c r="P38" s="1"/>
      <c r="Q38" s="1"/>
      <c r="R38" s="1"/>
      <c r="S38" s="1"/>
      <c r="T38" s="103"/>
      <c r="U38" s="567"/>
      <c r="V38" s="567"/>
      <c r="W38" s="104"/>
      <c r="X38" s="109"/>
      <c r="Y38" s="104"/>
    </row>
    <row r="39" spans="2:25" ht="15.6">
      <c r="E39" s="1"/>
      <c r="F39" s="3"/>
      <c r="G39" s="4"/>
      <c r="H39" s="5"/>
      <c r="I39" s="20"/>
      <c r="J39" s="20"/>
      <c r="K39" s="20"/>
      <c r="L39" s="1"/>
      <c r="M39" s="1"/>
      <c r="N39" s="1"/>
      <c r="O39" s="1"/>
      <c r="P39" s="1"/>
      <c r="Q39" s="1"/>
      <c r="R39" s="1"/>
      <c r="S39" s="1"/>
      <c r="T39" s="103"/>
      <c r="U39" s="104"/>
      <c r="V39" s="103"/>
      <c r="W39" s="109"/>
      <c r="X39" s="105"/>
      <c r="Y39" s="105"/>
    </row>
    <row r="40" spans="2:25" ht="15.6">
      <c r="B40" s="2"/>
      <c r="C40" s="2"/>
      <c r="E40" s="1"/>
      <c r="F40" s="3"/>
      <c r="G40" s="4"/>
      <c r="H40" s="5"/>
      <c r="I40" s="20"/>
      <c r="J40" s="20"/>
      <c r="K40" s="20"/>
      <c r="L40" s="1"/>
      <c r="M40" s="1"/>
      <c r="N40" s="1"/>
      <c r="O40" s="1"/>
      <c r="P40" s="1"/>
      <c r="Q40" s="1"/>
      <c r="R40" s="1"/>
      <c r="S40" s="1"/>
      <c r="T40" s="103"/>
      <c r="U40" s="104"/>
      <c r="V40" s="103"/>
      <c r="W40" s="109"/>
      <c r="X40" s="109"/>
      <c r="Y40" s="105"/>
    </row>
    <row r="41" spans="2:25" ht="15.6">
      <c r="B41" s="2"/>
      <c r="C41" s="2"/>
      <c r="E41" s="1"/>
      <c r="F41" s="3"/>
      <c r="G41" s="4"/>
      <c r="H41" s="5"/>
      <c r="I41" s="20"/>
      <c r="J41" s="20"/>
      <c r="K41" s="20"/>
      <c r="L41" s="1"/>
      <c r="M41" s="1"/>
      <c r="N41" s="1"/>
      <c r="O41" s="1"/>
      <c r="P41" s="1"/>
      <c r="Q41" s="1"/>
      <c r="R41" s="1"/>
      <c r="S41" s="1"/>
      <c r="T41" s="103"/>
      <c r="U41" s="104"/>
      <c r="V41" s="103"/>
      <c r="W41" s="109"/>
      <c r="X41" s="109"/>
      <c r="Y41" s="109"/>
    </row>
    <row r="42" spans="2:25" ht="15.6">
      <c r="B42" s="2"/>
      <c r="C42" s="2"/>
      <c r="E42" s="1"/>
      <c r="F42" s="20"/>
      <c r="G42" s="20"/>
      <c r="H42" s="20"/>
      <c r="I42" s="20"/>
      <c r="J42" s="20"/>
      <c r="K42" s="20"/>
      <c r="L42" s="1"/>
      <c r="M42" s="1"/>
      <c r="N42" s="1"/>
      <c r="O42" s="1"/>
      <c r="P42" s="1"/>
      <c r="Q42" s="1"/>
      <c r="R42" s="1"/>
      <c r="S42" s="1"/>
      <c r="T42" s="103"/>
      <c r="U42" s="104"/>
      <c r="V42" s="103"/>
      <c r="W42" s="109"/>
      <c r="X42" s="105"/>
      <c r="Y42" s="105"/>
    </row>
    <row r="43" spans="2:25" ht="15.6">
      <c r="B43" s="2"/>
      <c r="C43" s="2"/>
      <c r="D43" s="1"/>
      <c r="E43" s="1"/>
      <c r="F43" s="20"/>
      <c r="G43" s="20"/>
      <c r="H43" s="20"/>
      <c r="I43" s="20"/>
      <c r="J43" s="20"/>
      <c r="K43" s="20"/>
      <c r="L43" s="1"/>
      <c r="M43" s="1"/>
      <c r="N43" s="1"/>
      <c r="O43" s="1"/>
      <c r="P43" s="1"/>
      <c r="Q43" s="1"/>
      <c r="R43" s="1"/>
      <c r="S43" s="1"/>
      <c r="T43" s="103"/>
      <c r="U43" s="104"/>
      <c r="V43" s="103"/>
      <c r="W43" s="109"/>
      <c r="X43" s="102"/>
      <c r="Y43" s="105"/>
    </row>
    <row r="44" spans="2:25" ht="15.6">
      <c r="B44" s="2"/>
      <c r="C44" s="2"/>
      <c r="D44" s="1"/>
      <c r="E44" s="1"/>
      <c r="F44" s="20"/>
      <c r="G44" s="20"/>
      <c r="H44" s="20"/>
      <c r="I44" s="20"/>
      <c r="J44" s="20"/>
      <c r="K44" s="20"/>
      <c r="L44" s="1"/>
      <c r="M44" s="1"/>
      <c r="N44" s="1"/>
      <c r="O44" s="1"/>
      <c r="P44" s="1"/>
      <c r="Q44" s="1"/>
      <c r="R44" s="1"/>
      <c r="S44" s="1"/>
      <c r="T44" s="103"/>
      <c r="U44" s="104"/>
      <c r="V44" s="103"/>
      <c r="W44" s="109"/>
      <c r="X44" s="105"/>
      <c r="Y44" s="102"/>
    </row>
    <row r="45" spans="2:25" ht="15.6">
      <c r="B45" s="2"/>
      <c r="C45" s="2"/>
      <c r="D45" s="1"/>
      <c r="E45" s="1"/>
      <c r="F45" s="20"/>
      <c r="G45" s="20"/>
      <c r="H45" s="20"/>
      <c r="I45" s="20"/>
      <c r="J45" s="20"/>
      <c r="K45" s="20"/>
      <c r="L45" s="1"/>
      <c r="M45" s="1"/>
      <c r="N45" s="1"/>
      <c r="O45" s="1"/>
      <c r="P45" s="1"/>
      <c r="Q45" s="1"/>
      <c r="R45" s="1"/>
      <c r="S45" s="1"/>
      <c r="T45" s="103"/>
      <c r="U45" s="104"/>
      <c r="V45" s="104"/>
      <c r="W45" s="102"/>
      <c r="X45" s="104"/>
      <c r="Y45" s="105"/>
    </row>
    <row r="46" spans="2:25" ht="15.6">
      <c r="B46" s="2"/>
      <c r="C46" s="2"/>
      <c r="D46" s="1"/>
      <c r="E46" s="1"/>
      <c r="F46" s="20"/>
      <c r="G46" s="20"/>
      <c r="H46" s="20"/>
      <c r="I46" s="20"/>
      <c r="J46" s="20"/>
      <c r="K46" s="20"/>
      <c r="L46" s="1"/>
      <c r="M46" s="1"/>
      <c r="N46" s="1"/>
      <c r="O46" s="1"/>
      <c r="P46" s="1"/>
      <c r="Q46" s="1"/>
      <c r="R46" s="1"/>
      <c r="S46" s="1"/>
      <c r="T46" s="103"/>
      <c r="U46" s="104"/>
      <c r="V46" s="103"/>
      <c r="W46" s="109"/>
      <c r="X46" s="104"/>
      <c r="Y46" s="104"/>
    </row>
    <row r="47" spans="2:25" ht="15.6">
      <c r="B47" s="2"/>
      <c r="C47" s="2"/>
      <c r="D47" s="1"/>
      <c r="E47" s="1"/>
      <c r="F47" s="20"/>
      <c r="G47" s="20"/>
      <c r="H47" s="20"/>
      <c r="I47" s="20"/>
      <c r="J47" s="20"/>
      <c r="K47" s="20"/>
      <c r="L47" s="1"/>
      <c r="M47" s="1"/>
      <c r="N47" s="1"/>
      <c r="O47" s="1"/>
      <c r="P47" s="1"/>
      <c r="Q47" s="1"/>
      <c r="R47" s="1"/>
      <c r="S47" s="1"/>
      <c r="T47" s="103"/>
      <c r="U47" s="104"/>
      <c r="V47" s="104"/>
      <c r="W47" s="104"/>
      <c r="X47" s="105"/>
      <c r="Y47" s="104"/>
    </row>
    <row r="48" spans="2:25" ht="15.6">
      <c r="B48" s="2"/>
      <c r="C48" s="2"/>
      <c r="D48" s="1"/>
      <c r="E48" s="1"/>
      <c r="F48" s="20"/>
      <c r="G48" s="20"/>
      <c r="H48" s="20"/>
      <c r="I48" s="20"/>
      <c r="J48" s="20"/>
      <c r="K48" s="20"/>
      <c r="L48" s="1"/>
      <c r="M48" s="1"/>
      <c r="N48" s="1"/>
      <c r="O48" s="1"/>
      <c r="P48" s="1"/>
      <c r="Q48" s="1"/>
      <c r="R48" s="1"/>
      <c r="S48" s="1"/>
      <c r="T48" s="103"/>
      <c r="U48" s="567"/>
      <c r="V48" s="567"/>
      <c r="W48" s="104"/>
      <c r="X48" s="105"/>
      <c r="Y48" s="105"/>
    </row>
    <row r="49" spans="2:25" ht="15.6">
      <c r="B49" s="2"/>
      <c r="C49" s="2"/>
      <c r="D49" s="1"/>
      <c r="E49" s="1"/>
      <c r="F49" s="20"/>
      <c r="G49" s="20"/>
      <c r="H49" s="20"/>
      <c r="I49" s="20"/>
      <c r="J49" s="20"/>
      <c r="K49" s="20"/>
      <c r="L49" s="1"/>
      <c r="M49" s="1"/>
      <c r="N49" s="1"/>
      <c r="O49" s="1"/>
      <c r="P49" s="1"/>
      <c r="Q49" s="1"/>
      <c r="R49" s="1"/>
      <c r="S49" s="1"/>
      <c r="T49" s="103"/>
      <c r="U49" s="104"/>
      <c r="V49" s="103"/>
      <c r="W49" s="109"/>
      <c r="X49" s="105"/>
      <c r="Y49" s="105"/>
    </row>
    <row r="50" spans="2:25" ht="15.6">
      <c r="B50" s="2"/>
      <c r="C50" s="2"/>
      <c r="D50" s="1"/>
      <c r="E50" s="1"/>
      <c r="F50" s="20"/>
      <c r="G50" s="20"/>
      <c r="H50" s="20"/>
      <c r="I50" s="20"/>
      <c r="J50" s="20"/>
      <c r="K50" s="20"/>
      <c r="L50" s="1"/>
      <c r="M50" s="1"/>
      <c r="N50" s="1"/>
      <c r="O50" s="1"/>
      <c r="P50" s="1"/>
      <c r="Q50" s="1"/>
      <c r="R50" s="1"/>
      <c r="S50" s="1"/>
      <c r="T50" s="103"/>
      <c r="U50" s="104"/>
      <c r="V50" s="103"/>
      <c r="W50" s="109"/>
      <c r="X50" s="109"/>
      <c r="Y50" s="105"/>
    </row>
    <row r="51" spans="2:25" ht="15.6">
      <c r="B51" s="2"/>
      <c r="C51" s="2"/>
      <c r="D51" s="1"/>
      <c r="E51" s="1"/>
      <c r="F51" s="20"/>
      <c r="G51" s="20"/>
      <c r="H51" s="20"/>
      <c r="I51" s="20"/>
      <c r="J51" s="20"/>
      <c r="K51" s="20"/>
      <c r="L51" s="1"/>
      <c r="M51" s="1"/>
      <c r="N51" s="1"/>
      <c r="O51" s="1"/>
      <c r="P51" s="1"/>
      <c r="Q51" s="1"/>
      <c r="R51" s="1"/>
      <c r="S51" s="1"/>
      <c r="T51" s="103"/>
      <c r="U51" s="104"/>
      <c r="V51" s="104"/>
      <c r="W51" s="102"/>
      <c r="X51" s="109"/>
      <c r="Y51" s="105"/>
    </row>
    <row r="52" spans="2:25" ht="15.6">
      <c r="B52" s="2"/>
      <c r="C52" s="2"/>
      <c r="D52" s="1"/>
      <c r="E52" s="1"/>
      <c r="F52" s="20"/>
      <c r="G52" s="20"/>
      <c r="H52" s="20"/>
      <c r="I52" s="20"/>
      <c r="J52" s="20"/>
      <c r="K52" s="20"/>
      <c r="L52" s="1"/>
      <c r="M52" s="1"/>
      <c r="N52" s="1"/>
      <c r="O52" s="1"/>
      <c r="P52" s="1"/>
      <c r="Q52" s="1"/>
      <c r="R52" s="1"/>
      <c r="S52" s="1"/>
      <c r="T52" s="103"/>
      <c r="U52" s="104"/>
      <c r="V52" s="103"/>
      <c r="W52" s="109"/>
      <c r="X52" s="105"/>
      <c r="Y52" s="105"/>
    </row>
    <row r="53" spans="2:25" ht="15.6">
      <c r="B53" s="2"/>
      <c r="C53" s="2"/>
      <c r="D53" s="1"/>
      <c r="E53" s="1"/>
      <c r="F53" s="20"/>
      <c r="G53" s="20"/>
      <c r="H53" s="20"/>
      <c r="I53" s="20"/>
      <c r="J53" s="20"/>
      <c r="K53" s="20"/>
      <c r="L53" s="1"/>
      <c r="M53" s="1"/>
      <c r="N53" s="1"/>
      <c r="O53" s="1"/>
      <c r="P53" s="1"/>
      <c r="Q53" s="1"/>
      <c r="R53" s="1"/>
      <c r="S53" s="1"/>
      <c r="T53" s="103"/>
      <c r="U53" s="104"/>
      <c r="V53" s="104"/>
      <c r="W53" s="104"/>
      <c r="X53" s="102"/>
      <c r="Y53" s="105"/>
    </row>
    <row r="54" spans="2:25" ht="15.6">
      <c r="B54" s="2"/>
      <c r="C54" s="2"/>
      <c r="D54" s="1"/>
      <c r="E54" s="1"/>
      <c r="F54" s="20"/>
      <c r="G54" s="20"/>
      <c r="H54" s="20"/>
      <c r="I54" s="20"/>
      <c r="J54" s="20"/>
      <c r="K54" s="20"/>
      <c r="L54" s="1"/>
      <c r="M54" s="1"/>
      <c r="N54" s="1"/>
      <c r="O54" s="1"/>
      <c r="P54" s="1"/>
      <c r="Q54" s="1"/>
      <c r="R54" s="1"/>
      <c r="S54" s="1"/>
      <c r="T54" s="103"/>
      <c r="U54" s="567"/>
      <c r="V54" s="567"/>
      <c r="W54" s="104"/>
      <c r="X54" s="105"/>
      <c r="Y54" s="102"/>
    </row>
    <row r="55" spans="2:25" ht="15.6">
      <c r="B55" s="2"/>
      <c r="C55" s="2"/>
      <c r="D55" s="1"/>
      <c r="E55" s="1"/>
      <c r="F55" s="20"/>
      <c r="G55" s="20"/>
      <c r="H55" s="20"/>
      <c r="I55" s="20"/>
      <c r="J55" s="20"/>
      <c r="K55" s="20"/>
      <c r="L55" s="1"/>
      <c r="M55" s="1"/>
      <c r="N55" s="1"/>
      <c r="O55" s="1"/>
      <c r="P55" s="1"/>
      <c r="Q55" s="1"/>
      <c r="R55" s="1"/>
      <c r="S55" s="1"/>
      <c r="T55" s="103"/>
      <c r="U55" s="104"/>
      <c r="V55" s="103"/>
      <c r="W55" s="109"/>
      <c r="X55" s="104"/>
      <c r="Y55" s="105"/>
    </row>
    <row r="56" spans="2:25" ht="15.6">
      <c r="B56" s="1"/>
      <c r="C56" s="1"/>
      <c r="D56" s="1"/>
      <c r="E56" s="1"/>
      <c r="F56" s="20"/>
      <c r="G56" s="20"/>
      <c r="H56" s="20"/>
      <c r="I56" s="20"/>
      <c r="J56" s="20"/>
      <c r="K56" s="20"/>
      <c r="L56" s="1"/>
      <c r="M56" s="1"/>
      <c r="N56" s="1"/>
      <c r="O56" s="1"/>
      <c r="P56" s="1"/>
      <c r="Q56" s="1"/>
      <c r="R56" s="1"/>
      <c r="S56" s="1"/>
      <c r="T56" s="103"/>
      <c r="U56" s="104"/>
      <c r="V56" s="103"/>
      <c r="W56" s="109"/>
      <c r="X56" s="104"/>
      <c r="Y56" s="104"/>
    </row>
    <row r="57" spans="2:25" ht="15.6">
      <c r="B57" s="1"/>
      <c r="C57" s="1"/>
      <c r="D57" s="1"/>
      <c r="E57" s="1"/>
      <c r="F57" s="20"/>
      <c r="G57" s="20"/>
      <c r="H57" s="20"/>
      <c r="I57" s="20"/>
      <c r="J57" s="20"/>
      <c r="K57" s="20"/>
      <c r="L57" s="1"/>
      <c r="M57" s="1"/>
      <c r="N57" s="1"/>
      <c r="O57" s="1"/>
      <c r="P57" s="1"/>
      <c r="Q57" s="1"/>
      <c r="R57" s="1"/>
      <c r="S57" s="1"/>
      <c r="T57" s="103"/>
      <c r="U57" s="104"/>
      <c r="V57" s="103"/>
      <c r="W57" s="105"/>
      <c r="X57" s="109"/>
      <c r="Y57" s="104"/>
    </row>
    <row r="58" spans="2:25" ht="15.6">
      <c r="B58" s="1"/>
      <c r="C58" s="1"/>
      <c r="D58" s="1"/>
      <c r="E58" s="1"/>
      <c r="F58" s="20"/>
      <c r="G58" s="20"/>
      <c r="H58" s="20"/>
      <c r="I58" s="20"/>
      <c r="J58" s="20"/>
      <c r="K58" s="20"/>
      <c r="L58" s="1"/>
      <c r="M58" s="1"/>
      <c r="N58" s="1"/>
      <c r="O58" s="1"/>
      <c r="P58" s="1"/>
      <c r="Q58" s="1"/>
      <c r="R58" s="1"/>
      <c r="S58" s="1"/>
      <c r="T58" s="103"/>
      <c r="U58" s="104"/>
      <c r="V58" s="103"/>
      <c r="W58" s="109"/>
      <c r="X58" s="109"/>
      <c r="Y58" s="105"/>
    </row>
    <row r="59" spans="2:25" ht="15.6">
      <c r="B59" s="1"/>
      <c r="C59" s="1"/>
      <c r="D59" s="1"/>
      <c r="E59" s="1"/>
      <c r="F59" s="20"/>
      <c r="G59" s="20"/>
      <c r="H59" s="20"/>
      <c r="I59" s="20"/>
      <c r="J59" s="20"/>
      <c r="K59" s="20"/>
      <c r="L59" s="1"/>
      <c r="M59" s="1"/>
      <c r="N59" s="1"/>
      <c r="O59" s="1"/>
      <c r="P59" s="1"/>
      <c r="Q59" s="1"/>
      <c r="R59" s="1"/>
      <c r="S59" s="1"/>
      <c r="T59" s="103"/>
      <c r="U59" s="104"/>
      <c r="V59" s="103"/>
      <c r="W59" s="109"/>
      <c r="X59" s="102"/>
      <c r="Y59" s="105"/>
    </row>
    <row r="60" spans="2:25" ht="15.6">
      <c r="B60" s="1"/>
      <c r="C60" s="1"/>
      <c r="D60" s="1"/>
      <c r="E60" s="1"/>
      <c r="F60" s="20"/>
      <c r="G60" s="20"/>
      <c r="H60" s="20"/>
      <c r="I60" s="20"/>
      <c r="J60" s="20"/>
      <c r="K60" s="20"/>
      <c r="L60" s="1"/>
      <c r="M60" s="1"/>
      <c r="N60" s="1"/>
      <c r="O60" s="1"/>
      <c r="P60" s="1"/>
      <c r="Q60" s="1"/>
      <c r="R60" s="1"/>
      <c r="S60" s="1"/>
      <c r="T60" s="103"/>
      <c r="U60" s="104"/>
      <c r="V60" s="104"/>
      <c r="W60" s="102"/>
      <c r="X60" s="109"/>
      <c r="Y60" s="102"/>
    </row>
    <row r="61" spans="2:25" ht="15.6">
      <c r="B61" s="1"/>
      <c r="C61" s="1"/>
      <c r="D61" s="1"/>
      <c r="E61" s="1"/>
      <c r="F61" s="20"/>
      <c r="G61" s="20"/>
      <c r="H61" s="20"/>
      <c r="I61" s="20"/>
      <c r="J61" s="20"/>
      <c r="K61" s="20"/>
      <c r="L61" s="1"/>
      <c r="M61" s="1"/>
      <c r="N61" s="1"/>
      <c r="O61" s="1"/>
      <c r="P61" s="1"/>
      <c r="Q61" s="1"/>
      <c r="R61" s="1"/>
      <c r="S61" s="1"/>
      <c r="T61" s="103"/>
      <c r="U61" s="104"/>
      <c r="V61" s="103"/>
      <c r="W61" s="105"/>
      <c r="X61" s="104"/>
      <c r="Y61" s="105"/>
    </row>
    <row r="62" spans="2:25" ht="15.6">
      <c r="B62" s="1"/>
      <c r="C62" s="1"/>
      <c r="D62" s="1"/>
      <c r="E62" s="1"/>
      <c r="F62" s="20"/>
      <c r="G62" s="20"/>
      <c r="H62" s="20"/>
      <c r="I62" s="20"/>
      <c r="J62" s="20"/>
      <c r="K62" s="20"/>
      <c r="L62" s="1"/>
      <c r="M62" s="1"/>
      <c r="N62" s="1"/>
      <c r="O62" s="1"/>
      <c r="P62" s="1"/>
      <c r="Q62" s="1"/>
      <c r="R62" s="1"/>
      <c r="S62" s="1"/>
      <c r="T62" s="103"/>
      <c r="U62" s="104"/>
      <c r="V62" s="104"/>
      <c r="W62" s="104"/>
      <c r="X62" s="104"/>
      <c r="Y62" s="104"/>
    </row>
    <row r="63" spans="2:25" ht="15.6">
      <c r="B63" s="1"/>
      <c r="C63" s="1"/>
      <c r="D63" s="1"/>
      <c r="E63" s="1"/>
      <c r="F63" s="20"/>
      <c r="G63" s="20"/>
      <c r="H63" s="20"/>
      <c r="I63" s="20"/>
      <c r="J63" s="20"/>
      <c r="K63" s="20"/>
      <c r="L63" s="1"/>
      <c r="M63" s="1"/>
      <c r="N63" s="1"/>
      <c r="O63" s="1"/>
      <c r="P63" s="1"/>
      <c r="Q63" s="1"/>
      <c r="R63" s="1"/>
      <c r="S63" s="1"/>
      <c r="T63" s="103"/>
      <c r="U63" s="104"/>
      <c r="V63" s="104"/>
      <c r="W63" s="104"/>
      <c r="X63" s="109"/>
      <c r="Y63" s="104"/>
    </row>
    <row r="64" spans="2:25" ht="15.6">
      <c r="B64" s="1"/>
      <c r="C64" s="1"/>
      <c r="D64" s="1"/>
      <c r="E64" s="1"/>
      <c r="F64" s="20"/>
      <c r="G64" s="20"/>
      <c r="H64" s="20"/>
      <c r="I64" s="20"/>
      <c r="J64" s="20"/>
      <c r="K64" s="20"/>
      <c r="L64" s="1"/>
      <c r="M64" s="1"/>
      <c r="N64" s="1"/>
      <c r="O64" s="1"/>
      <c r="P64" s="1"/>
      <c r="Q64" s="1"/>
      <c r="R64" s="1"/>
      <c r="S64" s="1"/>
      <c r="T64" s="103"/>
      <c r="U64" s="104"/>
      <c r="V64" s="103"/>
      <c r="W64" s="105"/>
      <c r="X64" s="109"/>
      <c r="Y64" s="105"/>
    </row>
    <row r="65" spans="2:25" ht="15.6">
      <c r="B65" s="1"/>
      <c r="C65" s="1"/>
      <c r="D65" s="1"/>
      <c r="E65" s="1"/>
      <c r="F65" s="20"/>
      <c r="G65" s="20"/>
      <c r="H65" s="20"/>
      <c r="I65" s="20"/>
      <c r="J65" s="20"/>
      <c r="K65" s="20"/>
      <c r="L65" s="1"/>
      <c r="M65" s="1"/>
      <c r="N65" s="1"/>
      <c r="O65" s="1"/>
      <c r="P65" s="1"/>
      <c r="Q65" s="1"/>
      <c r="R65" s="1"/>
      <c r="S65" s="1"/>
      <c r="T65" s="103"/>
      <c r="U65" s="104"/>
      <c r="V65" s="104"/>
      <c r="W65" s="102"/>
      <c r="X65" s="109"/>
      <c r="Y65" s="105"/>
    </row>
    <row r="66" spans="2:25" ht="15.6">
      <c r="B66" s="1"/>
      <c r="C66" s="1"/>
      <c r="D66" s="1"/>
      <c r="E66" s="1"/>
      <c r="F66" s="20"/>
      <c r="G66" s="20"/>
      <c r="H66" s="20"/>
      <c r="I66" s="20"/>
      <c r="J66" s="20"/>
      <c r="K66" s="20"/>
      <c r="L66" s="1"/>
      <c r="M66" s="1"/>
      <c r="N66" s="1"/>
      <c r="O66" s="1"/>
      <c r="P66" s="1"/>
      <c r="Q66" s="1"/>
      <c r="R66" s="1"/>
      <c r="S66" s="1"/>
      <c r="T66" s="103"/>
      <c r="U66" s="567"/>
      <c r="V66" s="567"/>
      <c r="W66" s="104"/>
      <c r="X66" s="109"/>
      <c r="Y66" s="105"/>
    </row>
    <row r="67" spans="2:25" ht="15.6">
      <c r="B67" s="1"/>
      <c r="C67" s="1"/>
      <c r="D67" s="1"/>
      <c r="E67" s="1"/>
      <c r="F67" s="20"/>
      <c r="G67" s="20"/>
      <c r="H67" s="20"/>
      <c r="I67" s="20"/>
      <c r="J67" s="20"/>
      <c r="K67" s="20"/>
      <c r="L67" s="1"/>
      <c r="M67" s="1"/>
      <c r="N67" s="1"/>
      <c r="O67" s="1"/>
      <c r="P67" s="1"/>
      <c r="Q67" s="1"/>
      <c r="R67" s="1"/>
      <c r="S67" s="1"/>
      <c r="T67" s="103"/>
      <c r="U67" s="104"/>
      <c r="V67" s="104"/>
      <c r="W67" s="104"/>
      <c r="X67" s="109"/>
      <c r="Y67" s="109"/>
    </row>
    <row r="68" spans="2:25" ht="15.6">
      <c r="B68" s="1"/>
      <c r="C68" s="1"/>
      <c r="D68" s="1"/>
      <c r="E68" s="1"/>
      <c r="F68" s="20"/>
      <c r="G68" s="20"/>
      <c r="H68" s="20"/>
      <c r="I68" s="20"/>
      <c r="J68" s="20"/>
      <c r="K68" s="20"/>
      <c r="L68" s="1"/>
      <c r="M68" s="1"/>
      <c r="N68" s="1"/>
      <c r="O68" s="1"/>
      <c r="P68" s="1"/>
      <c r="Q68" s="1"/>
      <c r="R68" s="1"/>
      <c r="S68" s="1"/>
      <c r="T68" s="103"/>
      <c r="U68" s="104"/>
      <c r="V68" s="103"/>
      <c r="W68" s="104"/>
      <c r="X68" s="102"/>
      <c r="Y68" s="109"/>
    </row>
    <row r="69" spans="2:25" ht="15.6">
      <c r="B69" s="1"/>
      <c r="C69" s="1"/>
      <c r="D69" s="1"/>
      <c r="E69" s="1"/>
      <c r="F69" s="20"/>
      <c r="G69" s="20"/>
      <c r="H69" s="20"/>
      <c r="I69" s="20"/>
      <c r="J69" s="20"/>
      <c r="K69" s="20"/>
      <c r="L69" s="1"/>
      <c r="M69" s="1"/>
      <c r="N69" s="1"/>
      <c r="O69" s="1"/>
      <c r="P69" s="1"/>
      <c r="Q69" s="1"/>
      <c r="R69" s="1"/>
      <c r="S69" s="1"/>
      <c r="T69" s="103"/>
      <c r="U69" s="104"/>
      <c r="V69" s="104"/>
      <c r="W69" s="102"/>
      <c r="X69" s="109"/>
      <c r="Y69" s="102"/>
    </row>
    <row r="70" spans="2:25" ht="15.6">
      <c r="B70" s="1"/>
      <c r="C70" s="1"/>
      <c r="D70" s="1"/>
      <c r="E70" s="1"/>
      <c r="F70" s="20"/>
      <c r="G70" s="20"/>
      <c r="H70" s="20"/>
      <c r="I70" s="20"/>
      <c r="J70" s="20"/>
      <c r="K70" s="20"/>
      <c r="L70" s="1"/>
      <c r="M70" s="1"/>
      <c r="N70" s="1"/>
      <c r="O70" s="1"/>
      <c r="P70" s="1"/>
      <c r="Q70" s="1"/>
      <c r="R70" s="1"/>
      <c r="S70" s="1"/>
      <c r="T70" s="103"/>
      <c r="U70" s="104"/>
      <c r="V70" s="103"/>
      <c r="W70" s="104"/>
      <c r="X70" s="104"/>
      <c r="Y70" s="105"/>
    </row>
    <row r="71" spans="2:25" ht="15.6">
      <c r="B71" s="1"/>
      <c r="C71" s="1"/>
      <c r="D71" s="1"/>
      <c r="E71" s="1"/>
      <c r="F71" s="20"/>
      <c r="G71" s="20"/>
      <c r="H71" s="20"/>
      <c r="I71" s="20"/>
      <c r="J71" s="20"/>
      <c r="K71" s="20"/>
      <c r="L71" s="1"/>
      <c r="M71" s="1"/>
      <c r="N71" s="1"/>
      <c r="O71" s="1"/>
      <c r="P71" s="1"/>
      <c r="Q71" s="1"/>
      <c r="R71" s="1"/>
      <c r="S71" s="1"/>
      <c r="T71" s="103"/>
      <c r="U71" s="104"/>
      <c r="V71" s="104"/>
      <c r="W71" s="104"/>
      <c r="X71" s="104"/>
      <c r="Y71" s="104"/>
    </row>
    <row r="72" spans="2:25" ht="15.6">
      <c r="B72" s="1"/>
      <c r="C72" s="1"/>
      <c r="D72" s="1"/>
      <c r="E72" s="1"/>
      <c r="F72" s="20"/>
      <c r="G72" s="20"/>
      <c r="H72" s="20"/>
      <c r="I72" s="20"/>
      <c r="J72" s="20"/>
      <c r="K72" s="20"/>
      <c r="L72" s="1"/>
      <c r="M72" s="1"/>
      <c r="N72" s="1"/>
      <c r="O72" s="1"/>
      <c r="P72" s="1"/>
      <c r="Q72" s="1"/>
      <c r="R72" s="1"/>
      <c r="S72" s="1"/>
      <c r="T72" s="103"/>
      <c r="U72" s="104"/>
      <c r="V72" s="104"/>
      <c r="W72" s="102"/>
      <c r="X72" s="105"/>
      <c r="Y72" s="104"/>
    </row>
    <row r="73" spans="2:25" ht="15.6">
      <c r="B73" s="1"/>
      <c r="C73" s="1"/>
      <c r="D73" s="1"/>
      <c r="E73" s="1"/>
      <c r="F73" s="20"/>
      <c r="G73" s="20"/>
      <c r="H73" s="20"/>
      <c r="I73" s="20"/>
      <c r="J73" s="20"/>
      <c r="K73" s="20"/>
      <c r="L73" s="1"/>
      <c r="M73" s="1"/>
      <c r="N73" s="1"/>
      <c r="O73" s="1"/>
      <c r="P73" s="1"/>
      <c r="Q73" s="1"/>
      <c r="R73" s="1"/>
      <c r="S73" s="1"/>
      <c r="T73" s="103"/>
      <c r="U73" s="567"/>
      <c r="V73" s="567"/>
      <c r="W73" s="105"/>
      <c r="X73" s="102"/>
      <c r="Y73" s="105"/>
    </row>
    <row r="74" spans="2:25" ht="15.6">
      <c r="B74" s="1"/>
      <c r="C74" s="1"/>
      <c r="D74" s="1"/>
      <c r="E74" s="1"/>
      <c r="F74" s="20"/>
      <c r="G74" s="20"/>
      <c r="H74" s="20"/>
      <c r="I74" s="20"/>
      <c r="J74" s="20"/>
      <c r="K74" s="2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4"/>
      <c r="Y74" s="102"/>
    </row>
    <row r="75" spans="2:25" ht="15.6">
      <c r="B75" s="1"/>
      <c r="C75" s="1"/>
      <c r="D75" s="1"/>
      <c r="E75" s="1"/>
      <c r="X75" s="104"/>
      <c r="Y75" s="104"/>
    </row>
    <row r="76" spans="2:25" ht="15.6">
      <c r="B76" s="1"/>
      <c r="C76" s="1"/>
      <c r="D76" s="1"/>
      <c r="X76" s="104"/>
      <c r="Y76" s="104"/>
    </row>
    <row r="77" spans="2:25" ht="15.6">
      <c r="B77" s="1"/>
      <c r="C77" s="1"/>
      <c r="D77" s="1"/>
      <c r="X77" s="102"/>
      <c r="Y77" s="104"/>
    </row>
    <row r="78" spans="2:25" ht="15.6">
      <c r="B78" s="1"/>
      <c r="C78" s="1"/>
      <c r="D78" s="1"/>
      <c r="X78" s="104"/>
      <c r="Y78" s="102"/>
    </row>
    <row r="79" spans="2:25" ht="15.6">
      <c r="B79" s="1"/>
      <c r="C79" s="1"/>
      <c r="D79" s="1"/>
      <c r="X79" s="104"/>
      <c r="Y79" s="104"/>
    </row>
    <row r="80" spans="2:25" ht="15.6">
      <c r="B80" s="1"/>
      <c r="C80" s="1"/>
      <c r="D80" s="1"/>
      <c r="X80" s="102"/>
      <c r="Y80" s="104"/>
    </row>
    <row r="81" spans="2:25" ht="15.6">
      <c r="B81" s="1"/>
      <c r="C81" s="1"/>
      <c r="D81" s="1"/>
      <c r="X81" s="105"/>
      <c r="Y81" s="102"/>
    </row>
    <row r="82" spans="2:25" ht="15.6">
      <c r="B82" s="1"/>
      <c r="C82" s="1"/>
      <c r="D82" s="1"/>
      <c r="X82" s="1"/>
      <c r="Y82" s="105"/>
    </row>
    <row r="83" spans="2:25" ht="15.6">
      <c r="B83" s="1"/>
      <c r="C83" s="1"/>
      <c r="D83" s="1"/>
      <c r="Y83" s="1"/>
    </row>
    <row r="84" spans="2:25" ht="15.6">
      <c r="B84" s="1"/>
      <c r="C84" s="1"/>
      <c r="D84" s="1"/>
    </row>
  </sheetData>
  <mergeCells count="18">
    <mergeCell ref="Z29:AA29"/>
    <mergeCell ref="AB29:AC29"/>
    <mergeCell ref="U73:V73"/>
    <mergeCell ref="P27:T27"/>
    <mergeCell ref="U38:V38"/>
    <mergeCell ref="U48:V48"/>
    <mergeCell ref="U54:V54"/>
    <mergeCell ref="G4:T4"/>
    <mergeCell ref="C23:E23"/>
    <mergeCell ref="C33:E33"/>
    <mergeCell ref="U66:V66"/>
    <mergeCell ref="U18:V18"/>
    <mergeCell ref="F27:I27"/>
    <mergeCell ref="W18:X18"/>
    <mergeCell ref="U17:V17"/>
    <mergeCell ref="W17:X17"/>
    <mergeCell ref="G18:T18"/>
    <mergeCell ref="G8:T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B8127-2810-44C9-93B5-DC983F08148F}">
  <sheetPr codeName="Sheet10">
    <tabColor rgb="FF92D050"/>
  </sheetPr>
  <dimension ref="A1:AE97"/>
  <sheetViews>
    <sheetView zoomScale="80" zoomScaleNormal="80" workbookViewId="0"/>
  </sheetViews>
  <sheetFormatPr defaultColWidth="8.88671875" defaultRowHeight="14.4"/>
  <cols>
    <col min="1" max="1" width="7.44140625" style="6" customWidth="1"/>
    <col min="2" max="2" width="14.44140625" style="6" customWidth="1"/>
    <col min="3" max="4" width="13" style="6" customWidth="1"/>
    <col min="5" max="5" width="18" style="6" bestFit="1" customWidth="1"/>
    <col min="6" max="6" width="13.5546875" style="6" customWidth="1"/>
    <col min="7" max="7" width="15" style="6" bestFit="1" customWidth="1"/>
    <col min="8" max="8" width="14.109375" style="6" customWidth="1"/>
    <col min="9" max="10" width="15.5546875" style="6" customWidth="1"/>
    <col min="11" max="11" width="15" style="6" bestFit="1" customWidth="1"/>
    <col min="12" max="17" width="15.5546875" style="6" customWidth="1"/>
    <col min="18" max="18" width="15" style="6" customWidth="1"/>
    <col min="19" max="19" width="14" style="6" customWidth="1"/>
    <col min="20" max="20" width="15.5546875" style="6" customWidth="1"/>
    <col min="21" max="21" width="16.5546875" style="6" customWidth="1"/>
    <col min="22" max="23" width="14" style="6" customWidth="1"/>
    <col min="24" max="24" width="29.109375" style="6" bestFit="1" customWidth="1"/>
    <col min="25" max="25" width="14.88671875" style="6" bestFit="1" customWidth="1"/>
    <col min="26" max="26" width="12.88671875" style="6" customWidth="1"/>
    <col min="27" max="27" width="14.6640625" style="6" customWidth="1"/>
    <col min="28" max="28" width="8.88671875" style="6"/>
    <col min="29" max="31" width="16.33203125" style="6" customWidth="1"/>
    <col min="32" max="16384" width="8.88671875" style="6"/>
  </cols>
  <sheetData>
    <row r="1" spans="1:31" s="171" customFormat="1" ht="25.5" customHeight="1">
      <c r="A1" s="418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</row>
    <row r="2" spans="1:31">
      <c r="A2" s="87"/>
      <c r="B2" s="582"/>
      <c r="C2" s="582"/>
      <c r="D2" s="582"/>
      <c r="F2" s="87"/>
    </row>
    <row r="3" spans="1:31">
      <c r="E3" s="583" t="s">
        <v>212</v>
      </c>
      <c r="F3" s="583"/>
      <c r="G3" s="583"/>
      <c r="H3" s="583"/>
      <c r="I3" s="583"/>
      <c r="J3" s="254"/>
      <c r="K3" s="254"/>
      <c r="M3" s="110"/>
      <c r="N3" s="110"/>
      <c r="O3" s="110"/>
      <c r="P3" s="583" t="s">
        <v>213</v>
      </c>
      <c r="Q3" s="583"/>
      <c r="R3" s="583"/>
      <c r="S3" s="583"/>
      <c r="T3" s="583"/>
      <c r="U3" s="254"/>
      <c r="V3" s="254"/>
    </row>
    <row r="4" spans="1:31" ht="15.75" customHeight="1">
      <c r="D4" s="1"/>
      <c r="E4" s="148">
        <f>'Res Bill Impact'!E4</f>
        <v>2025</v>
      </c>
      <c r="F4" s="178">
        <f>'Res Bill Impact'!F4</f>
        <v>45931</v>
      </c>
      <c r="G4" s="178">
        <f>'Res Bill Impact'!G4</f>
        <v>45931</v>
      </c>
      <c r="H4" s="111" t="s">
        <v>178</v>
      </c>
      <c r="I4" s="111" t="s">
        <v>178</v>
      </c>
      <c r="J4" s="111"/>
      <c r="K4" s="111"/>
      <c r="L4" s="20"/>
      <c r="O4" s="1"/>
      <c r="P4" s="148">
        <f>'Res Bill Impact'!P4</f>
        <v>2025</v>
      </c>
      <c r="Q4" s="178">
        <f>'Res Bill Impact'!Q4</f>
        <v>45931</v>
      </c>
      <c r="R4" s="178">
        <f>'Res Bill Impact'!R4</f>
        <v>45931</v>
      </c>
      <c r="S4" s="111" t="s">
        <v>178</v>
      </c>
      <c r="T4" s="111" t="s">
        <v>178</v>
      </c>
      <c r="U4" s="111"/>
      <c r="V4" s="111"/>
    </row>
    <row r="5" spans="1:31" ht="30.75" customHeight="1">
      <c r="D5" s="1"/>
      <c r="E5" s="111" t="s">
        <v>130</v>
      </c>
      <c r="F5" s="111" t="s">
        <v>179</v>
      </c>
      <c r="G5" s="111" t="s">
        <v>180</v>
      </c>
      <c r="H5" s="111" t="s">
        <v>179</v>
      </c>
      <c r="I5" s="111" t="s">
        <v>180</v>
      </c>
      <c r="J5" s="111"/>
      <c r="K5" s="111"/>
      <c r="L5" s="83"/>
      <c r="M5" s="112"/>
      <c r="N5" s="112"/>
      <c r="O5" s="83"/>
      <c r="P5" s="111" t="s">
        <v>130</v>
      </c>
      <c r="Q5" s="111" t="s">
        <v>179</v>
      </c>
      <c r="R5" s="111" t="s">
        <v>180</v>
      </c>
      <c r="S5" s="111" t="s">
        <v>179</v>
      </c>
      <c r="T5" s="111" t="s">
        <v>180</v>
      </c>
      <c r="U5" s="111"/>
      <c r="V5" s="111"/>
      <c r="AD5" s="47"/>
      <c r="AE5" s="47"/>
    </row>
    <row r="6" spans="1:31" ht="42" customHeight="1">
      <c r="B6" s="113"/>
      <c r="D6" s="113"/>
      <c r="E6" s="1"/>
      <c r="F6" s="1"/>
      <c r="G6" s="1"/>
      <c r="J6" s="20"/>
      <c r="K6" s="20"/>
      <c r="L6" s="20"/>
      <c r="O6" s="113"/>
      <c r="P6" s="1"/>
      <c r="Q6" s="1"/>
      <c r="R6" s="1"/>
      <c r="U6" s="20"/>
      <c r="V6" s="20"/>
      <c r="Y6" s="273" t="s">
        <v>113</v>
      </c>
      <c r="Z6" s="273" t="s">
        <v>329</v>
      </c>
      <c r="AA6" s="273" t="s">
        <v>3</v>
      </c>
      <c r="AC6" s="112"/>
      <c r="AD6" s="112"/>
      <c r="AE6" s="112"/>
    </row>
    <row r="7" spans="1:31" ht="15.6">
      <c r="D7" s="114" t="s">
        <v>185</v>
      </c>
      <c r="E7" s="250">
        <f>'Res Bill Impact'!E7</f>
        <v>91334373.98568216</v>
      </c>
      <c r="F7" s="115">
        <f>'Res Bill Impact'!F7</f>
        <v>0.3739683403997679</v>
      </c>
      <c r="G7" s="116">
        <f t="shared" ref="G7:G12" si="0">F7*E7</f>
        <v>34156164.260877289</v>
      </c>
      <c r="H7" s="173">
        <f>F7+(F7*$AD$12)</f>
        <v>0.3739683403997679</v>
      </c>
      <c r="I7" s="116">
        <f t="shared" ref="I7:I12" si="1">E7*H7</f>
        <v>34156164.260877289</v>
      </c>
      <c r="J7" s="173"/>
      <c r="K7" s="278"/>
      <c r="L7" s="117"/>
      <c r="O7" s="114" t="s">
        <v>185</v>
      </c>
      <c r="P7" s="250">
        <f>'Res Bill Impact'!P7</f>
        <v>67894669.90258716</v>
      </c>
      <c r="Q7" s="115">
        <f>'Res Bill Impact'!Q7</f>
        <v>0.23921000000000001</v>
      </c>
      <c r="R7" s="116">
        <f>'Res Bill Impact'!R7</f>
        <v>16241083.987397876</v>
      </c>
      <c r="S7" s="173">
        <f t="shared" ref="S7:S12" si="2">H7*(1+(Q7/F7-1))</f>
        <v>0.23920999999999998</v>
      </c>
      <c r="T7" s="116">
        <f t="shared" ref="T7:T12" si="3">P7*S7</f>
        <v>16241083.987397874</v>
      </c>
      <c r="U7" s="173"/>
      <c r="V7" s="278"/>
      <c r="W7" s="117"/>
      <c r="X7" s="6" t="s">
        <v>186</v>
      </c>
      <c r="AC7" s="321"/>
      <c r="AD7" s="284"/>
      <c r="AE7" s="284"/>
    </row>
    <row r="8" spans="1:31" ht="15.6">
      <c r="D8" s="118" t="s">
        <v>187</v>
      </c>
      <c r="E8" s="250">
        <f>'Res Bill Impact'!E8</f>
        <v>141884586.52569643</v>
      </c>
      <c r="F8" s="115">
        <f>'Res Bill Impact'!F8</f>
        <v>0.3739683403997679</v>
      </c>
      <c r="G8" s="116">
        <f t="shared" si="0"/>
        <v>53060343.351321965</v>
      </c>
      <c r="H8" s="173">
        <f>H7</f>
        <v>0.3739683403997679</v>
      </c>
      <c r="I8" s="116">
        <f t="shared" si="1"/>
        <v>53060343.351321965</v>
      </c>
      <c r="J8" s="173"/>
      <c r="K8" s="278"/>
      <c r="L8" s="117"/>
      <c r="O8" s="118" t="s">
        <v>187</v>
      </c>
      <c r="P8" s="250">
        <f>'Res Bill Impact'!P8</f>
        <v>103335801.68831357</v>
      </c>
      <c r="Q8" s="115">
        <f>'Res Bill Impact'!Q8</f>
        <v>0.23921000000000001</v>
      </c>
      <c r="R8" s="116">
        <f>'Res Bill Impact'!R8</f>
        <v>24718957.121861491</v>
      </c>
      <c r="S8" s="173">
        <f t="shared" si="2"/>
        <v>0.23920999999999998</v>
      </c>
      <c r="T8" s="116">
        <f t="shared" si="3"/>
        <v>24718957.121861488</v>
      </c>
      <c r="U8" s="173"/>
      <c r="V8" s="278"/>
      <c r="W8" s="117"/>
      <c r="X8" s="6" t="s">
        <v>188</v>
      </c>
      <c r="Y8" s="119">
        <f>'Res Bill Impact'!Y8</f>
        <v>1580000500</v>
      </c>
      <c r="Z8" s="119">
        <f>'Res Bill Impact'!Z8</f>
        <v>1340933488</v>
      </c>
      <c r="AA8" s="119">
        <f>'Res Bill Impact'!AA8</f>
        <v>239067012</v>
      </c>
    </row>
    <row r="9" spans="1:31" ht="15.6">
      <c r="D9" s="114" t="s">
        <v>214</v>
      </c>
      <c r="E9" s="250">
        <f>'Res Bill Impact'!E9</f>
        <v>97621050.269968837</v>
      </c>
      <c r="F9" s="115">
        <f>'Res Bill Impact'!F9</f>
        <v>0.47087262801621554</v>
      </c>
      <c r="G9" s="116">
        <f t="shared" si="0"/>
        <v>45967080.490323313</v>
      </c>
      <c r="H9" s="173">
        <f>F9/F$7*H$7</f>
        <v>0.47087262801621554</v>
      </c>
      <c r="I9" s="116">
        <f t="shared" si="1"/>
        <v>45967080.490323313</v>
      </c>
      <c r="J9" s="173"/>
      <c r="K9" s="278"/>
      <c r="L9" s="117"/>
      <c r="O9" s="114" t="s">
        <v>189</v>
      </c>
      <c r="P9" s="250">
        <f>'Res Bill Impact'!P9</f>
        <v>45483203.515582025</v>
      </c>
      <c r="Q9" s="115">
        <f>'Res Bill Impact'!Q9</f>
        <v>0.30220000000000002</v>
      </c>
      <c r="R9" s="116">
        <f>'Res Bill Impact'!R9</f>
        <v>13745024.10240889</v>
      </c>
      <c r="S9" s="173">
        <f t="shared" si="2"/>
        <v>0.30220000000000002</v>
      </c>
      <c r="T9" s="116">
        <f t="shared" si="3"/>
        <v>13745024.10240889</v>
      </c>
      <c r="U9" s="173"/>
      <c r="V9" s="278"/>
      <c r="W9" s="117"/>
      <c r="X9" s="6" t="s">
        <v>267</v>
      </c>
      <c r="Y9" s="203">
        <f>('Hypothetical SAR and RAR'!V20+'Hypothetical SAR and RAR'!X20)*1000</f>
        <v>0</v>
      </c>
      <c r="Z9" s="203">
        <f>('Hypothetical SAR and RAR'!V20)*1000</f>
        <v>0</v>
      </c>
      <c r="AA9" s="172">
        <f>('Hypothetical SAR and RAR'!X20)*1000</f>
        <v>0</v>
      </c>
    </row>
    <row r="10" spans="1:31" ht="15.6">
      <c r="D10" s="118" t="s">
        <v>187</v>
      </c>
      <c r="E10" s="250">
        <f>'Res Bill Impact'!E10</f>
        <v>87253759.623688459</v>
      </c>
      <c r="F10" s="115">
        <f>'Res Bill Impact'!F10</f>
        <v>0.47087262801621554</v>
      </c>
      <c r="G10" s="116">
        <f t="shared" si="0"/>
        <v>41085407.098301344</v>
      </c>
      <c r="H10" s="173">
        <f>H9</f>
        <v>0.47087262801621554</v>
      </c>
      <c r="I10" s="116">
        <f t="shared" si="1"/>
        <v>41085407.098301344</v>
      </c>
      <c r="J10" s="173"/>
      <c r="K10" s="278"/>
      <c r="L10" s="117"/>
      <c r="O10" s="118" t="s">
        <v>187</v>
      </c>
      <c r="P10" s="250">
        <f>'Res Bill Impact'!P10</f>
        <v>40015542.791026749</v>
      </c>
      <c r="Q10" s="115">
        <f>'Res Bill Impact'!Q10</f>
        <v>0.30220000000000002</v>
      </c>
      <c r="R10" s="116">
        <f>'Res Bill Impact'!R10</f>
        <v>12092697.031448284</v>
      </c>
      <c r="S10" s="173">
        <f t="shared" si="2"/>
        <v>0.30220000000000002</v>
      </c>
      <c r="T10" s="116">
        <f t="shared" si="3"/>
        <v>12092697.031448284</v>
      </c>
      <c r="U10" s="173"/>
      <c r="V10" s="278"/>
      <c r="W10" s="117"/>
      <c r="X10" s="6" t="s">
        <v>268</v>
      </c>
      <c r="Y10" s="119">
        <f>Y8+Y9</f>
        <v>1580000500</v>
      </c>
      <c r="Z10" s="119">
        <f>Z8+Z9</f>
        <v>1340933488</v>
      </c>
      <c r="AA10" s="119">
        <f>AA8+AA9</f>
        <v>239067012</v>
      </c>
      <c r="AD10" s="47" t="s">
        <v>331</v>
      </c>
      <c r="AE10" s="47"/>
    </row>
    <row r="11" spans="1:31" ht="15.6">
      <c r="D11" s="114" t="s">
        <v>192</v>
      </c>
      <c r="E11" s="250">
        <f>'Res Bill Impact'!E11</f>
        <v>0</v>
      </c>
      <c r="F11" s="115">
        <f>'Res Bill Impact'!F11</f>
        <v>0</v>
      </c>
      <c r="G11" s="116">
        <f t="shared" si="0"/>
        <v>0</v>
      </c>
      <c r="H11" s="173">
        <f>F11/F$7*H$7</f>
        <v>0</v>
      </c>
      <c r="I11" s="116">
        <f t="shared" si="1"/>
        <v>0</v>
      </c>
      <c r="J11" s="173"/>
      <c r="K11" s="278"/>
      <c r="L11" s="117"/>
      <c r="O11" s="114" t="s">
        <v>192</v>
      </c>
      <c r="P11" s="250">
        <f>'Res Bill Impact'!P11</f>
        <v>0</v>
      </c>
      <c r="Q11" s="115">
        <f>'Res Bill Impact'!Q11</f>
        <v>0</v>
      </c>
      <c r="R11" s="116">
        <f>'Res Bill Impact'!R11</f>
        <v>0</v>
      </c>
      <c r="S11" s="173" t="e">
        <f t="shared" si="2"/>
        <v>#DIV/0!</v>
      </c>
      <c r="T11" s="116" t="e">
        <f t="shared" si="3"/>
        <v>#DIV/0!</v>
      </c>
      <c r="U11" s="173"/>
      <c r="V11" s="278"/>
      <c r="W11" s="117"/>
      <c r="Y11" s="119"/>
      <c r="AC11" s="133" t="s">
        <v>330</v>
      </c>
      <c r="AD11" s="273" t="s">
        <v>332</v>
      </c>
      <c r="AE11" s="47"/>
    </row>
    <row r="12" spans="1:31" ht="15.6">
      <c r="D12" s="118" t="s">
        <v>187</v>
      </c>
      <c r="E12" s="250">
        <f>'Res Bill Impact'!E12</f>
        <v>0</v>
      </c>
      <c r="F12" s="115">
        <f>'Res Bill Impact'!F12</f>
        <v>0</v>
      </c>
      <c r="G12" s="116">
        <f t="shared" si="0"/>
        <v>0</v>
      </c>
      <c r="H12" s="173">
        <f>H11</f>
        <v>0</v>
      </c>
      <c r="I12" s="116">
        <f t="shared" si="1"/>
        <v>0</v>
      </c>
      <c r="J12" s="173"/>
      <c r="K12" s="278"/>
      <c r="L12" s="117"/>
      <c r="O12" s="118" t="s">
        <v>187</v>
      </c>
      <c r="P12" s="250">
        <f>'Res Bill Impact'!P12</f>
        <v>0</v>
      </c>
      <c r="Q12" s="115">
        <f>'Res Bill Impact'!Q12</f>
        <v>0</v>
      </c>
      <c r="R12" s="116">
        <f>'Res Bill Impact'!R12</f>
        <v>0</v>
      </c>
      <c r="S12" s="173" t="e">
        <f t="shared" si="2"/>
        <v>#DIV/0!</v>
      </c>
      <c r="T12" s="116" t="e">
        <f t="shared" si="3"/>
        <v>#DIV/0!</v>
      </c>
      <c r="U12" s="173"/>
      <c r="V12" s="278"/>
      <c r="W12" s="117"/>
      <c r="X12" s="6" t="s">
        <v>374</v>
      </c>
      <c r="Y12" s="273" t="s">
        <v>113</v>
      </c>
      <c r="Z12" s="273" t="s">
        <v>329</v>
      </c>
      <c r="AA12" s="273" t="s">
        <v>3</v>
      </c>
      <c r="AC12" s="6">
        <f>'Res Bill Impact'!AC16</f>
        <v>0.41025</v>
      </c>
      <c r="AD12" s="167">
        <f>Y14/100/AC12</f>
        <v>0</v>
      </c>
      <c r="AE12" s="281"/>
    </row>
    <row r="13" spans="1:31" ht="15.6">
      <c r="D13" s="118"/>
      <c r="E13" s="120"/>
      <c r="F13" s="121"/>
      <c r="G13" s="122"/>
      <c r="H13" s="1"/>
      <c r="I13" s="123"/>
      <c r="J13" s="1"/>
      <c r="K13" s="123"/>
      <c r="L13" s="117"/>
      <c r="O13" s="118"/>
      <c r="P13" s="122"/>
      <c r="Q13" s="121"/>
      <c r="R13" s="122"/>
      <c r="S13" s="1"/>
      <c r="T13" s="123"/>
      <c r="U13" s="1"/>
      <c r="V13" s="123"/>
      <c r="X13" s="6" t="s">
        <v>375</v>
      </c>
      <c r="Y13" s="317">
        <f>+Z13+AA13</f>
        <v>41.024999999999999</v>
      </c>
      <c r="Z13" s="317">
        <f>'Res Bill Impact'!Z15</f>
        <v>25.247999999999998</v>
      </c>
      <c r="AA13" s="317">
        <f>'Res Bill Impact'!AA15</f>
        <v>15.776999999999999</v>
      </c>
      <c r="AC13" s="280"/>
      <c r="AD13" s="98"/>
      <c r="AE13" s="274"/>
    </row>
    <row r="14" spans="1:31" ht="15.6">
      <c r="D14" s="118"/>
      <c r="E14" s="646" t="s">
        <v>531</v>
      </c>
      <c r="F14" s="115">
        <v>0.79342999999999997</v>
      </c>
      <c r="G14" s="121"/>
      <c r="H14" s="173"/>
      <c r="I14" s="122"/>
      <c r="J14" s="122"/>
      <c r="K14" s="122"/>
      <c r="L14" s="117"/>
      <c r="O14" s="118"/>
      <c r="P14" s="646" t="s">
        <v>531</v>
      </c>
      <c r="Q14" s="115">
        <v>0.19712000000000002</v>
      </c>
      <c r="R14" s="121"/>
      <c r="S14" s="122"/>
      <c r="T14" s="122"/>
      <c r="U14" s="122"/>
      <c r="V14" s="122"/>
      <c r="X14" s="6" t="s">
        <v>267</v>
      </c>
      <c r="Y14" s="317">
        <f>+Z14+AA14</f>
        <v>0</v>
      </c>
      <c r="Z14" s="317">
        <f>+Z9/(IF('Hypothetical Summary'!$H$3=2025,'Hypothetical SAR and RAR'!$C$25,'Hypothetical SAR and RAR'!$C$35)*1000)*100</f>
        <v>0</v>
      </c>
      <c r="AA14" s="317">
        <f>+AA9/(IF('Hypothetical Summary'!$H$3=2025,'Hypothetical SAR and RAR'!$E$25,'Hypothetical SAR and RAR'!$E$35)*1000)*100</f>
        <v>0</v>
      </c>
      <c r="AD14" s="47"/>
      <c r="AE14" s="47"/>
    </row>
    <row r="15" spans="1:31" ht="15.6">
      <c r="D15" s="118"/>
      <c r="E15" s="646" t="s">
        <v>532</v>
      </c>
      <c r="F15" s="647">
        <f>F14*30</f>
        <v>23.802899999999998</v>
      </c>
      <c r="G15" s="501" t="s">
        <v>533</v>
      </c>
      <c r="I15" s="122"/>
      <c r="J15" s="248"/>
      <c r="K15" s="122"/>
      <c r="L15" s="117"/>
      <c r="O15" s="124"/>
      <c r="P15" s="646" t="s">
        <v>532</v>
      </c>
      <c r="Q15" s="647">
        <f>Q14*30</f>
        <v>5.9136000000000006</v>
      </c>
      <c r="R15" s="501" t="s">
        <v>533</v>
      </c>
      <c r="S15" s="122"/>
      <c r="T15" s="122"/>
      <c r="U15" s="122"/>
      <c r="V15" s="122"/>
      <c r="X15" s="6" t="s">
        <v>268</v>
      </c>
      <c r="Y15" s="317">
        <f>+Y14+Y13</f>
        <v>41.024999999999999</v>
      </c>
      <c r="Z15" s="317">
        <f>+Z14+Z13</f>
        <v>25.247999999999998</v>
      </c>
      <c r="AA15" s="317">
        <f>+AA14+AA13</f>
        <v>15.776999999999999</v>
      </c>
      <c r="AC15" s="47"/>
      <c r="AD15" s="47"/>
      <c r="AE15" s="47"/>
    </row>
    <row r="16" spans="1:31" ht="15.6">
      <c r="P16" s="122"/>
      <c r="Q16" s="121"/>
      <c r="R16" s="122"/>
      <c r="AC16" s="276"/>
      <c r="AD16" s="275"/>
      <c r="AE16" s="276"/>
    </row>
    <row r="17" spans="1:31" ht="15.6">
      <c r="O17" s="125"/>
      <c r="R17" s="122"/>
      <c r="Y17" s="47"/>
      <c r="Z17" s="315"/>
      <c r="AA17" s="315"/>
    </row>
    <row r="18" spans="1:31" ht="15.6">
      <c r="Y18" s="47"/>
      <c r="Z18" s="315"/>
      <c r="AA18" s="315"/>
    </row>
    <row r="19" spans="1:31">
      <c r="B19" s="7"/>
      <c r="P19" s="6" t="str">
        <f>'Res Bill Impact'!P19</f>
        <v>2024 Recorded Data - Average Monthly Usage - BASIC kWh</v>
      </c>
      <c r="AD19" s="47"/>
      <c r="AE19" s="47"/>
    </row>
    <row r="20" spans="1:31">
      <c r="B20" s="126" t="s">
        <v>215</v>
      </c>
      <c r="C20" s="126"/>
      <c r="E20" s="127"/>
      <c r="F20" s="127"/>
      <c r="H20" s="126" t="s">
        <v>276</v>
      </c>
      <c r="I20" s="126"/>
      <c r="J20" s="126"/>
      <c r="K20" s="126" t="s">
        <v>275</v>
      </c>
      <c r="L20" s="126"/>
      <c r="M20" s="126"/>
      <c r="N20" s="126"/>
      <c r="P20" s="128" t="s">
        <v>195</v>
      </c>
      <c r="Q20" s="129" t="s">
        <v>196</v>
      </c>
      <c r="R20" s="129" t="s">
        <v>197</v>
      </c>
      <c r="S20" s="129" t="s">
        <v>196</v>
      </c>
      <c r="T20" s="129" t="s">
        <v>197</v>
      </c>
      <c r="U20" s="591" t="s">
        <v>200</v>
      </c>
      <c r="V20" s="592"/>
      <c r="AD20" s="47"/>
      <c r="AE20" s="47"/>
    </row>
    <row r="21" spans="1:31">
      <c r="B21" s="130" t="s">
        <v>179</v>
      </c>
      <c r="C21" s="131" t="str">
        <f>'Res Bill Impact'!C21</f>
        <v>6/1/2025</v>
      </c>
      <c r="D21" s="131" t="str">
        <f>'Res Bill Impact'!D21</f>
        <v>10/1/25</v>
      </c>
      <c r="E21" s="132" t="s">
        <v>178</v>
      </c>
      <c r="F21" s="127"/>
      <c r="H21" s="133" t="s">
        <v>195</v>
      </c>
      <c r="I21" s="133" t="s">
        <v>196</v>
      </c>
      <c r="J21" s="133" t="s">
        <v>197</v>
      </c>
      <c r="K21" s="133" t="s">
        <v>195</v>
      </c>
      <c r="L21" s="133" t="s">
        <v>196</v>
      </c>
      <c r="M21" s="133" t="s">
        <v>197</v>
      </c>
      <c r="P21" s="52"/>
      <c r="Q21" s="570" t="s">
        <v>153</v>
      </c>
      <c r="R21" s="572"/>
      <c r="S21" s="570" t="s">
        <v>154</v>
      </c>
      <c r="T21" s="572"/>
      <c r="U21" s="47" t="s">
        <v>153</v>
      </c>
      <c r="V21" s="47" t="s">
        <v>154</v>
      </c>
      <c r="AD21" s="281"/>
      <c r="AE21" s="281"/>
    </row>
    <row r="22" spans="1:31">
      <c r="A22" s="6" t="s">
        <v>196</v>
      </c>
      <c r="B22" s="134" t="s">
        <v>198</v>
      </c>
      <c r="C22" s="137">
        <f>'Res Bill Impact'!C22</f>
        <v>0.42515831115732605</v>
      </c>
      <c r="D22" s="137">
        <f>'Res Bill Impact'!D22</f>
        <v>0.3739683403997679</v>
      </c>
      <c r="E22" s="137">
        <f>H7</f>
        <v>0.3739683403997679</v>
      </c>
      <c r="F22" s="255"/>
      <c r="H22" s="6" t="s">
        <v>129</v>
      </c>
      <c r="I22" s="155">
        <f>'Res Bill Impact'!I22</f>
        <v>351</v>
      </c>
      <c r="J22" s="155">
        <f>'Res Bill Impact'!J22</f>
        <v>359</v>
      </c>
      <c r="K22" s="6" t="s">
        <v>129</v>
      </c>
      <c r="L22" s="155">
        <f>'Res Bill Impact'!L22</f>
        <v>235</v>
      </c>
      <c r="M22" s="155">
        <f>'Res Bill Impact'!M22</f>
        <v>343</v>
      </c>
      <c r="N22" s="119"/>
      <c r="P22" s="138" t="s">
        <v>129</v>
      </c>
      <c r="Q22" s="139">
        <f>'Res Bill Impact'!Q22</f>
        <v>342.91891800000002</v>
      </c>
      <c r="R22" s="139">
        <f>'Res Bill Impact'!R22</f>
        <v>303.58623299999999</v>
      </c>
      <c r="S22" s="139">
        <f>'Res Bill Impact'!S22</f>
        <v>335.11797200000001</v>
      </c>
      <c r="T22" s="139">
        <f>'Res Bill Impact'!T22</f>
        <v>296.54197699999997</v>
      </c>
      <c r="U22" s="204">
        <f>'Res Bill Impact'!U22</f>
        <v>0.59459555720182788</v>
      </c>
      <c r="V22" s="204">
        <f>'Res Bill Impact'!V22</f>
        <v>0.50313208363509809</v>
      </c>
    </row>
    <row r="23" spans="1:31">
      <c r="B23" s="134" t="s">
        <v>199</v>
      </c>
      <c r="C23" s="137">
        <f>'Res Bill Impact'!C23</f>
        <v>0.53532716454975682</v>
      </c>
      <c r="D23" s="137">
        <f>'Res Bill Impact'!D23</f>
        <v>0.47087262801621554</v>
      </c>
      <c r="E23" s="137">
        <f>H9</f>
        <v>0.47087262801621554</v>
      </c>
      <c r="F23" s="255"/>
      <c r="H23" s="6" t="s">
        <v>201</v>
      </c>
      <c r="I23" s="155">
        <f>'Res Bill Impact'!I23</f>
        <v>530</v>
      </c>
      <c r="J23" s="155">
        <f>'Res Bill Impact'!J23</f>
        <v>503</v>
      </c>
      <c r="K23" s="6" t="s">
        <v>201</v>
      </c>
      <c r="L23" s="155">
        <f>'Res Bill Impact'!L23</f>
        <v>593</v>
      </c>
      <c r="M23" s="155">
        <f>'Res Bill Impact'!M23</f>
        <v>863</v>
      </c>
      <c r="N23" s="119"/>
      <c r="P23" s="141" t="s">
        <v>201</v>
      </c>
      <c r="Q23" s="139">
        <f>'Res Bill Impact'!Q23</f>
        <v>456.57375300000001</v>
      </c>
      <c r="R23" s="139">
        <f>'Res Bill Impact'!R23</f>
        <v>159.07604699999999</v>
      </c>
      <c r="S23" s="139">
        <f>'Res Bill Impact'!S23</f>
        <v>723.10526300000004</v>
      </c>
      <c r="T23" s="139">
        <f>'Res Bill Impact'!T23</f>
        <v>319.79216300000002</v>
      </c>
      <c r="U23" s="204">
        <f>'Res Bill Impact'!U23</f>
        <v>8.4517877685926866E-3</v>
      </c>
      <c r="V23" s="204">
        <f>'Res Bill Impact'!V23</f>
        <v>8.1500014108484842E-3</v>
      </c>
    </row>
    <row r="24" spans="1:31">
      <c r="B24" s="134"/>
      <c r="C24" s="137"/>
      <c r="D24" s="137"/>
      <c r="E24" s="137"/>
      <c r="F24" s="255"/>
      <c r="H24" s="6" t="s">
        <v>202</v>
      </c>
      <c r="I24" s="155">
        <f>'Res Bill Impact'!I24</f>
        <v>620</v>
      </c>
      <c r="J24" s="155">
        <f>'Res Bill Impact'!J24</f>
        <v>425</v>
      </c>
      <c r="K24" s="6" t="s">
        <v>202</v>
      </c>
      <c r="L24" s="155">
        <f>'Res Bill Impact'!L24</f>
        <v>662</v>
      </c>
      <c r="M24" s="155">
        <f>'Res Bill Impact'!M24</f>
        <v>667</v>
      </c>
      <c r="N24" s="119"/>
      <c r="P24" s="141" t="s">
        <v>202</v>
      </c>
      <c r="Q24" s="139">
        <f>'Res Bill Impact'!Q24</f>
        <v>349.89450699999998</v>
      </c>
      <c r="R24" s="139">
        <f>'Res Bill Impact'!R24</f>
        <v>266.04762099999999</v>
      </c>
      <c r="S24" s="139">
        <f>'Res Bill Impact'!S24</f>
        <v>443.258692</v>
      </c>
      <c r="T24" s="139">
        <f>'Res Bill Impact'!T24</f>
        <v>336.52605199999999</v>
      </c>
      <c r="U24" s="204">
        <f>'Res Bill Impact'!U24</f>
        <v>1.1409141797468145E-3</v>
      </c>
      <c r="V24" s="204">
        <f>'Res Bill Impact'!V24</f>
        <v>1.5566361609872176E-3</v>
      </c>
    </row>
    <row r="25" spans="1:31">
      <c r="A25" s="200" t="s">
        <v>197</v>
      </c>
      <c r="B25" s="205" t="s">
        <v>198</v>
      </c>
      <c r="C25" s="206">
        <f>'Res Bill Impact'!C25</f>
        <v>0.42515831115732605</v>
      </c>
      <c r="D25" s="206">
        <f>'Res Bill Impact'!D25</f>
        <v>0.3739683403997679</v>
      </c>
      <c r="E25" s="206">
        <f>H8</f>
        <v>0.3739683403997679</v>
      </c>
      <c r="F25" s="255"/>
      <c r="H25" s="6" t="s">
        <v>203</v>
      </c>
      <c r="I25" s="155">
        <f>'Res Bill Impact'!I25</f>
        <v>406</v>
      </c>
      <c r="J25" s="155">
        <f>'Res Bill Impact'!J25</f>
        <v>374</v>
      </c>
      <c r="K25" s="6" t="s">
        <v>203</v>
      </c>
      <c r="L25" s="155">
        <f>'Res Bill Impact'!L25</f>
        <v>341</v>
      </c>
      <c r="M25" s="155">
        <f>'Res Bill Impact'!M25</f>
        <v>475</v>
      </c>
      <c r="N25" s="119"/>
      <c r="P25" s="144" t="s">
        <v>203</v>
      </c>
      <c r="Q25" s="145">
        <f>'Res Bill Impact'!Q25</f>
        <v>428.26417600000002</v>
      </c>
      <c r="R25" s="145">
        <f>'Res Bill Impact'!R25</f>
        <v>326.89865500000002</v>
      </c>
      <c r="S25" s="145">
        <f>'Res Bill Impact'!S25</f>
        <v>653.23481800000002</v>
      </c>
      <c r="T25" s="145">
        <f>'Res Bill Impact'!T25</f>
        <v>575.31525799999997</v>
      </c>
      <c r="U25" s="204">
        <f>'Res Bill Impact'!U25</f>
        <v>0.39581174084983267</v>
      </c>
      <c r="V25" s="204">
        <f>'Res Bill Impact'!V25</f>
        <v>0.48716127879306614</v>
      </c>
    </row>
    <row r="26" spans="1:31">
      <c r="A26" s="200"/>
      <c r="B26" s="205" t="s">
        <v>199</v>
      </c>
      <c r="C26" s="206">
        <f>'Res Bill Impact'!C26</f>
        <v>0.53532716454975682</v>
      </c>
      <c r="D26" s="206">
        <f>'Res Bill Impact'!D26</f>
        <v>0.47087262801621554</v>
      </c>
      <c r="E26" s="206">
        <f>H10</f>
        <v>0.47087262801621554</v>
      </c>
      <c r="F26" s="255"/>
      <c r="I26" s="119"/>
      <c r="J26" s="119"/>
      <c r="M26" s="119"/>
      <c r="N26" s="119"/>
      <c r="Q26" s="149"/>
      <c r="R26" s="149"/>
      <c r="S26" s="149"/>
      <c r="T26" s="149"/>
      <c r="U26" s="207"/>
      <c r="V26" s="207"/>
    </row>
    <row r="27" spans="1:31">
      <c r="A27" s="200"/>
      <c r="B27" s="205"/>
      <c r="C27" s="206"/>
      <c r="D27" s="206"/>
      <c r="E27" s="206"/>
      <c r="F27" s="255"/>
      <c r="I27" s="119"/>
      <c r="J27" s="119"/>
      <c r="M27" s="119"/>
      <c r="N27" s="119"/>
      <c r="Q27" s="149"/>
      <c r="R27" s="149"/>
      <c r="S27" s="149"/>
      <c r="T27" s="149"/>
      <c r="U27" s="207"/>
      <c r="V27" s="207"/>
    </row>
    <row r="28" spans="1:31">
      <c r="I28" s="119"/>
      <c r="J28" s="119"/>
      <c r="M28" s="119"/>
      <c r="N28" s="119"/>
      <c r="P28" s="6" t="str">
        <f>'Res Bill Impact'!P28</f>
        <v>2024 Recorded Data - Average Monthly Usage - ALL-ELECTRIC kWh</v>
      </c>
    </row>
    <row r="29" spans="1:31">
      <c r="B29" s="126" t="s">
        <v>216</v>
      </c>
      <c r="C29" s="126"/>
      <c r="D29" s="126"/>
      <c r="E29" s="127"/>
      <c r="F29" s="127"/>
      <c r="H29" s="126" t="s">
        <v>272</v>
      </c>
      <c r="I29" s="126"/>
      <c r="J29" s="126"/>
      <c r="K29" s="126" t="s">
        <v>271</v>
      </c>
      <c r="L29" s="126"/>
      <c r="M29" s="126"/>
      <c r="N29" s="119"/>
      <c r="P29" s="128" t="s">
        <v>195</v>
      </c>
      <c r="Q29" s="129" t="s">
        <v>196</v>
      </c>
      <c r="R29" s="129" t="s">
        <v>197</v>
      </c>
      <c r="S29" s="129" t="s">
        <v>196</v>
      </c>
      <c r="T29" s="129" t="s">
        <v>197</v>
      </c>
      <c r="U29" s="591" t="s">
        <v>200</v>
      </c>
      <c r="V29" s="592"/>
    </row>
    <row r="30" spans="1:31">
      <c r="B30" s="130" t="s">
        <v>179</v>
      </c>
      <c r="C30" s="131" t="str">
        <f>C21</f>
        <v>6/1/2025</v>
      </c>
      <c r="D30" s="131" t="str">
        <f>D21</f>
        <v>10/1/25</v>
      </c>
      <c r="E30" s="132" t="s">
        <v>178</v>
      </c>
      <c r="F30" s="127"/>
      <c r="H30" s="133" t="s">
        <v>195</v>
      </c>
      <c r="I30" s="133" t="s">
        <v>196</v>
      </c>
      <c r="J30" s="133" t="s">
        <v>197</v>
      </c>
      <c r="K30" s="133" t="s">
        <v>195</v>
      </c>
      <c r="L30" s="133" t="s">
        <v>196</v>
      </c>
      <c r="M30" s="133" t="s">
        <v>197</v>
      </c>
      <c r="N30" s="119"/>
      <c r="P30" s="52"/>
      <c r="Q30" s="570" t="s">
        <v>153</v>
      </c>
      <c r="R30" s="572"/>
      <c r="S30" s="570" t="s">
        <v>154</v>
      </c>
      <c r="T30" s="572"/>
      <c r="U30" s="47" t="s">
        <v>153</v>
      </c>
      <c r="V30" s="47" t="s">
        <v>154</v>
      </c>
    </row>
    <row r="31" spans="1:31">
      <c r="A31" s="6" t="s">
        <v>196</v>
      </c>
      <c r="B31" s="134" t="s">
        <v>198</v>
      </c>
      <c r="C31" s="136">
        <f>'Res Bill Impact'!C31</f>
        <v>0.26449</v>
      </c>
      <c r="D31" s="137">
        <f>'Res Bill Impact'!D31</f>
        <v>0.23921000000000001</v>
      </c>
      <c r="E31" s="137">
        <f>S7</f>
        <v>0.23920999999999998</v>
      </c>
      <c r="F31" s="255"/>
      <c r="H31" s="6" t="s">
        <v>129</v>
      </c>
      <c r="I31" s="155">
        <f>'Res Bill Impact'!I31</f>
        <v>270</v>
      </c>
      <c r="J31" s="155">
        <f>'Res Bill Impact'!J31</f>
        <v>276</v>
      </c>
      <c r="K31" s="6" t="s">
        <v>129</v>
      </c>
      <c r="L31" s="155">
        <f>'Res Bill Impact'!L31</f>
        <v>181</v>
      </c>
      <c r="M31" s="155">
        <f>'Res Bill Impact'!M31</f>
        <v>264</v>
      </c>
      <c r="N31" s="119"/>
      <c r="P31" s="138" t="s">
        <v>129</v>
      </c>
      <c r="Q31" s="139">
        <f>'Res Bill Impact'!Q31</f>
        <v>293.18844799999999</v>
      </c>
      <c r="R31" s="139">
        <f>'Res Bill Impact'!R31</f>
        <v>272.42403400000001</v>
      </c>
      <c r="S31" s="139">
        <f>'Res Bill Impact'!S31</f>
        <v>300.67371600000001</v>
      </c>
      <c r="T31" s="139">
        <f>'Res Bill Impact'!T31</f>
        <v>283.19878299999999</v>
      </c>
      <c r="U31" s="204">
        <f>'Res Bill Impact'!U31</f>
        <v>0.58715024846943753</v>
      </c>
      <c r="V31" s="204">
        <f>'Res Bill Impact'!V31</f>
        <v>0.4449864204236828</v>
      </c>
    </row>
    <row r="32" spans="1:31">
      <c r="B32" s="134" t="s">
        <v>199</v>
      </c>
      <c r="C32" s="136">
        <f>'Res Bill Impact'!C32</f>
        <v>0.33610000000000001</v>
      </c>
      <c r="D32" s="137">
        <f>'Res Bill Impact'!D32</f>
        <v>0.30220000000000002</v>
      </c>
      <c r="E32" s="137">
        <f>S9</f>
        <v>0.30220000000000002</v>
      </c>
      <c r="F32" s="255"/>
      <c r="H32" s="6" t="s">
        <v>201</v>
      </c>
      <c r="I32" s="155">
        <f>'Res Bill Impact'!I32</f>
        <v>408</v>
      </c>
      <c r="J32" s="155">
        <f>'Res Bill Impact'!J32</f>
        <v>387</v>
      </c>
      <c r="K32" s="6" t="s">
        <v>201</v>
      </c>
      <c r="L32" s="155">
        <f>'Res Bill Impact'!L32</f>
        <v>456</v>
      </c>
      <c r="M32" s="155">
        <f>'Res Bill Impact'!M32</f>
        <v>664</v>
      </c>
      <c r="N32" s="119"/>
      <c r="P32" s="141" t="s">
        <v>201</v>
      </c>
      <c r="Q32" s="139">
        <f>'Res Bill Impact'!Q32</f>
        <v>409.32504399999999</v>
      </c>
      <c r="R32" s="139">
        <f>'Res Bill Impact'!R32</f>
        <v>204.766988</v>
      </c>
      <c r="S32" s="139">
        <f>'Res Bill Impact'!S32</f>
        <v>794.02488100000005</v>
      </c>
      <c r="T32" s="139">
        <f>'Res Bill Impact'!T32</f>
        <v>451.99078700000001</v>
      </c>
      <c r="U32" s="204">
        <f>'Res Bill Impact'!U32</f>
        <v>2.1304685357270696E-2</v>
      </c>
      <c r="V32" s="204">
        <f>'Res Bill Impact'!V32</f>
        <v>1.416621401412276E-2</v>
      </c>
    </row>
    <row r="33" spans="1:27">
      <c r="B33" s="134"/>
      <c r="C33" s="136"/>
      <c r="D33" s="137"/>
      <c r="E33" s="137"/>
      <c r="F33" s="255"/>
      <c r="H33" s="6" t="s">
        <v>202</v>
      </c>
      <c r="I33" s="155">
        <f>'Res Bill Impact'!I33</f>
        <v>477</v>
      </c>
      <c r="J33" s="155">
        <f>'Res Bill Impact'!J33</f>
        <v>327</v>
      </c>
      <c r="K33" s="6" t="s">
        <v>202</v>
      </c>
      <c r="L33" s="155">
        <f>'Res Bill Impact'!L33</f>
        <v>509</v>
      </c>
      <c r="M33" s="155">
        <f>'Res Bill Impact'!M33</f>
        <v>513</v>
      </c>
      <c r="N33" s="119"/>
      <c r="P33" s="141" t="s">
        <v>202</v>
      </c>
      <c r="Q33" s="139">
        <f>'Res Bill Impact'!Q33</f>
        <v>355.03963099999999</v>
      </c>
      <c r="R33" s="139">
        <f>'Res Bill Impact'!R33</f>
        <v>334.63756999999998</v>
      </c>
      <c r="S33" s="139">
        <f>'Res Bill Impact'!S33</f>
        <v>413.14660300000003</v>
      </c>
      <c r="T33" s="139">
        <f>'Res Bill Impact'!T33</f>
        <v>348.72256900000002</v>
      </c>
      <c r="U33" s="204">
        <f>'Res Bill Impact'!U33</f>
        <v>5.8665749336407631E-3</v>
      </c>
      <c r="V33" s="204">
        <f>'Res Bill Impact'!V33</f>
        <v>3.6827810972297663E-3</v>
      </c>
    </row>
    <row r="34" spans="1:27">
      <c r="A34" s="200" t="s">
        <v>197</v>
      </c>
      <c r="B34" s="205" t="s">
        <v>198</v>
      </c>
      <c r="C34" s="206">
        <f>'Res Bill Impact'!C34</f>
        <v>0.26449</v>
      </c>
      <c r="D34" s="206">
        <f>'Res Bill Impact'!D34</f>
        <v>0.23921000000000001</v>
      </c>
      <c r="E34" s="206">
        <f>S8</f>
        <v>0.23920999999999998</v>
      </c>
      <c r="F34" s="255"/>
      <c r="H34" s="6" t="s">
        <v>203</v>
      </c>
      <c r="I34" s="155">
        <f>'Res Bill Impact'!I34</f>
        <v>312</v>
      </c>
      <c r="J34" s="155">
        <f>'Res Bill Impact'!J34</f>
        <v>288</v>
      </c>
      <c r="K34" s="6" t="s">
        <v>203</v>
      </c>
      <c r="L34" s="155">
        <f>'Res Bill Impact'!L34</f>
        <v>262</v>
      </c>
      <c r="M34" s="155">
        <f>'Res Bill Impact'!M34</f>
        <v>365</v>
      </c>
      <c r="N34" s="119"/>
      <c r="P34" s="144" t="s">
        <v>203</v>
      </c>
      <c r="Q34" s="145">
        <f>'Res Bill Impact'!Q34</f>
        <v>429.33569299999999</v>
      </c>
      <c r="R34" s="145">
        <f>'Res Bill Impact'!R34</f>
        <v>484.06809399999997</v>
      </c>
      <c r="S34" s="145">
        <f>'Res Bill Impact'!S34</f>
        <v>665.59984699999995</v>
      </c>
      <c r="T34" s="145">
        <f>'Res Bill Impact'!T34</f>
        <v>739.13461700000005</v>
      </c>
      <c r="U34" s="204">
        <f>'Res Bill Impact'!U34</f>
        <v>0.38567849123965098</v>
      </c>
      <c r="V34" s="204">
        <f>'Res Bill Impact'!V34</f>
        <v>0.53716458446496473</v>
      </c>
    </row>
    <row r="35" spans="1:27">
      <c r="A35" s="200"/>
      <c r="B35" s="205" t="s">
        <v>199</v>
      </c>
      <c r="C35" s="206">
        <f>'Res Bill Impact'!C35</f>
        <v>0.33610000000000001</v>
      </c>
      <c r="D35" s="206">
        <f>'Res Bill Impact'!D35</f>
        <v>0.30220000000000002</v>
      </c>
      <c r="E35" s="206">
        <f>S10</f>
        <v>0.30220000000000002</v>
      </c>
      <c r="F35" s="255"/>
      <c r="I35" s="119"/>
      <c r="J35" s="119"/>
      <c r="M35" s="119"/>
      <c r="N35" s="119"/>
      <c r="Q35" s="149"/>
      <c r="R35" s="149"/>
      <c r="S35" s="149"/>
      <c r="T35" s="149"/>
      <c r="U35" s="207"/>
      <c r="V35" s="207"/>
    </row>
    <row r="36" spans="1:27">
      <c r="A36" s="200"/>
      <c r="B36" s="205"/>
      <c r="C36" s="206"/>
      <c r="D36" s="206"/>
      <c r="E36" s="206"/>
      <c r="F36" s="255"/>
      <c r="I36" s="119"/>
      <c r="J36" s="119"/>
      <c r="M36" s="119"/>
      <c r="N36" s="119"/>
      <c r="Q36" s="149"/>
      <c r="R36" s="149"/>
      <c r="S36" s="149"/>
      <c r="T36" s="149"/>
      <c r="U36" s="207"/>
      <c r="V36" s="207"/>
    </row>
    <row r="37" spans="1:27">
      <c r="B37" s="7"/>
      <c r="C37" s="208"/>
      <c r="D37" s="208"/>
      <c r="E37" s="209"/>
      <c r="F37" s="209"/>
      <c r="I37" s="119"/>
      <c r="J37" s="119"/>
      <c r="M37" s="119"/>
      <c r="N37" s="119"/>
      <c r="Q37" s="149"/>
      <c r="R37" s="149"/>
      <c r="S37" s="149"/>
      <c r="T37" s="149"/>
      <c r="U37" s="207"/>
      <c r="V37" s="207"/>
    </row>
    <row r="38" spans="1:27">
      <c r="B38" s="7"/>
      <c r="C38" s="208"/>
      <c r="D38" s="208"/>
      <c r="E38" s="209"/>
      <c r="F38" s="209"/>
    </row>
    <row r="39" spans="1:27" ht="18">
      <c r="A39" s="246"/>
      <c r="B39" s="598" t="s">
        <v>265</v>
      </c>
      <c r="C39" s="598"/>
      <c r="D39" s="598"/>
      <c r="E39" s="598"/>
      <c r="F39" s="598"/>
      <c r="G39" s="598"/>
      <c r="H39" s="598"/>
      <c r="I39" s="246"/>
      <c r="J39" s="246"/>
      <c r="N39" s="51"/>
    </row>
    <row r="40" spans="1:27">
      <c r="B40" s="7"/>
      <c r="C40" s="522" t="str">
        <f>'Res Bill Impact'!C40</f>
        <v>2024 Recorded Average Basic Bundled Non-CARE Customer Bill</v>
      </c>
      <c r="D40" s="523"/>
      <c r="E40" s="523"/>
      <c r="F40" s="523"/>
      <c r="G40" s="523"/>
      <c r="H40" s="524"/>
      <c r="L40" s="522" t="str">
        <f>'Res Bill Impact'!N40</f>
        <v xml:space="preserve">2024 Recorded Average All-Electric Bundled Non-CARE Customer </v>
      </c>
      <c r="M40" s="523"/>
      <c r="N40" s="523"/>
      <c r="O40" s="523"/>
      <c r="P40" s="523"/>
      <c r="Q40" s="524"/>
      <c r="R40" s="483"/>
      <c r="S40" s="483"/>
      <c r="T40" s="483"/>
      <c r="U40" s="483"/>
    </row>
    <row r="41" spans="1:27">
      <c r="B41" s="7"/>
      <c r="C41" s="594" t="str">
        <f>C30</f>
        <v>6/1/2025</v>
      </c>
      <c r="D41" s="594"/>
      <c r="E41" s="593" t="str">
        <f>D30</f>
        <v>10/1/25</v>
      </c>
      <c r="F41" s="594"/>
      <c r="G41" s="594" t="str">
        <f>E30</f>
        <v>Proposed</v>
      </c>
      <c r="H41" s="594"/>
      <c r="I41" s="593"/>
      <c r="J41" s="594"/>
      <c r="K41" s="7"/>
      <c r="L41" s="263" t="str">
        <f>C41</f>
        <v>6/1/2025</v>
      </c>
      <c r="M41" s="263"/>
      <c r="N41" s="264" t="str">
        <f>E41</f>
        <v>10/1/25</v>
      </c>
      <c r="O41" s="263"/>
      <c r="P41" s="263" t="str">
        <f>G41</f>
        <v>Proposed</v>
      </c>
      <c r="Q41" s="263"/>
      <c r="R41" s="483"/>
      <c r="S41" s="483"/>
      <c r="T41" s="483"/>
      <c r="U41" s="483"/>
    </row>
    <row r="42" spans="1:27">
      <c r="B42" s="7"/>
      <c r="C42" s="208" t="s">
        <v>196</v>
      </c>
      <c r="D42" s="208" t="s">
        <v>197</v>
      </c>
      <c r="E42" s="208" t="s">
        <v>196</v>
      </c>
      <c r="F42" s="208" t="s">
        <v>197</v>
      </c>
      <c r="G42" s="208" t="s">
        <v>196</v>
      </c>
      <c r="H42" s="208" t="s">
        <v>197</v>
      </c>
      <c r="I42" s="208"/>
      <c r="J42" s="208"/>
      <c r="K42" s="7"/>
      <c r="L42" s="208" t="s">
        <v>196</v>
      </c>
      <c r="M42" s="208" t="s">
        <v>197</v>
      </c>
      <c r="N42" s="208" t="s">
        <v>196</v>
      </c>
      <c r="O42" s="208" t="s">
        <v>197</v>
      </c>
      <c r="P42" s="208" t="s">
        <v>196</v>
      </c>
      <c r="Q42" s="208" t="s">
        <v>197</v>
      </c>
    </row>
    <row r="43" spans="1:27">
      <c r="B43" s="138" t="s">
        <v>129</v>
      </c>
      <c r="C43" s="210">
        <f>IF($Q22&gt;$I22,C$22*$I22+C$23*($Q22-$I22),$Q22*C$22)+('Hypothetical SAR and RAR'!$C$21*$Q22)</f>
        <v>146.06916317517758</v>
      </c>
      <c r="D43" s="210">
        <f>IF($R22&gt;$J22,C$25*$J22+C$26*($R22-$J22),$R22*C$25)+('Hypothetical SAR and RAR'!$C$21*$R22)</f>
        <v>129.31507909929448</v>
      </c>
      <c r="E43" s="210">
        <f>$F$15+IF($Q22&gt;$I22,D$22*$I22+D$23*($Q22-$I22),$Q22*D$22)+('Hypothetical SAR and RAR'!$C$21*$Q22)</f>
        <v>152.3180537905441</v>
      </c>
      <c r="F43" s="210">
        <f>$F$15+IF($R22&gt;$J22,D$25*$J22+D$26*($R22-$J22),$R22*D$25)+('Hypothetical SAR and RAR'!$C$21*$R22)</f>
        <v>137.57740870962724</v>
      </c>
      <c r="G43" s="210">
        <f>$F$15+IF($Q22&gt;$I22,E$22*$I22+E$23*($Q22-$I22),$Q22*E$22)+('Hypothetical SAR and RAR'!$C$21*$Q22)</f>
        <v>152.3180537905441</v>
      </c>
      <c r="H43" s="210">
        <f>$F$15+IF($R22&gt;$J22,E$25*$J22+E$26*($R22-$J22),$R22*E$25)+('Hypothetical SAR and RAR'!$C$21*$R22)</f>
        <v>137.57740870962724</v>
      </c>
      <c r="I43" s="256"/>
      <c r="J43" s="256"/>
      <c r="K43" s="138" t="s">
        <v>129</v>
      </c>
      <c r="L43" s="210">
        <f>IF($Q31&gt;$L22,C$22*$L22+C$23*($Q31-$L22),$Q31*C$22)+('Hypothetical SAR and RAR'!$C$21*$Q31)</f>
        <v>131.29661075776258</v>
      </c>
      <c r="M43" s="210">
        <f>IF($R31&gt;$M22,C$25*$M22+C$26*($R31-$M22),$R31*C$25)+('Hypothetical SAR and RAR'!$C$21*$R31)</f>
        <v>116.04128144130598</v>
      </c>
      <c r="N43" s="210">
        <f>$F$15+IF($Q31&gt;$L22,D$22*$L22+D$23*($Q31-$L22),$Q31*D$22)+('Hypothetical SAR and RAR'!$C$21*$Q31)</f>
        <v>139.31935818229033</v>
      </c>
      <c r="O43" s="210">
        <f>$F$15+IF($R31&gt;$M22,D$22*$M22+D$23*($R31-$M22),$R31*D$22)+('Hypothetical SAR and RAR'!$C$21*$R31)</f>
        <v>125.89880310718995</v>
      </c>
      <c r="P43" s="210">
        <f>$F$15+IF($Q31&gt;$L22,E$22*$L22+E$23*($Q31-$L22),$Q31*E$22)+('Hypothetical SAR and RAR'!$C$21*$Q31)</f>
        <v>139.31935818229033</v>
      </c>
      <c r="Q43" s="210">
        <f>$F$15+IF($R31&gt;$M22,E$25*$M22+E$26*($R31-$M22),$R31*E$25)+('Hypothetical SAR and RAR'!$C$21*$R31)</f>
        <v>125.89880310718995</v>
      </c>
      <c r="R43" s="482"/>
      <c r="S43" s="482"/>
      <c r="T43" s="482"/>
      <c r="U43" s="482"/>
      <c r="W43" s="482"/>
      <c r="X43" s="482"/>
      <c r="Y43" s="482"/>
      <c r="Z43" s="482"/>
    </row>
    <row r="44" spans="1:27">
      <c r="B44" s="141" t="s">
        <v>201</v>
      </c>
      <c r="C44" s="210">
        <f>IF($Q23&gt;$I23,C$22*$I23+C$23*($Q23-$I23),$Q23*C$22)+('Hypothetical SAR and RAR'!$C$21*$Q23)</f>
        <v>194.48138474664214</v>
      </c>
      <c r="D44" s="210">
        <f>IF($R23&gt;$J23,C$25*$J23+C$26*($R23-$J23),$R23*C$25)+('Hypothetical SAR and RAR'!$C$21*$R23)</f>
        <v>67.759764325703429</v>
      </c>
      <c r="E44" s="210">
        <f>$F$15+IF($Q23&gt;$I23,D$22*$I23+D$23*($Q23-$I23),$Q23*D$22)+('Hypothetical SAR and RAR'!$C$21*$Q23)</f>
        <v>194.91228768190354</v>
      </c>
      <c r="F44" s="210">
        <f>$F$15+IF($R23&gt;$J23,D$25*$J23+D$26*($R23-$J23),$R23*D$25)+('Hypothetical SAR and RAR'!$C$21*$R23)</f>
        <v>83.41956613154548</v>
      </c>
      <c r="G44" s="210">
        <f>$F$15+IF($Q23&gt;$I23,E$22*$I23+E$23*($Q23-$I23),$Q23*E$22)+('Hypothetical SAR and RAR'!$C$21*$Q23)</f>
        <v>194.91228768190354</v>
      </c>
      <c r="H44" s="210">
        <f>$F$15+IF($R23&gt;$J23,E$25*$J23+E$26*($R23-$J23),$R23*E$25)+('Hypothetical SAR and RAR'!$C$21*$R23)</f>
        <v>83.41956613154548</v>
      </c>
      <c r="I44" s="256"/>
      <c r="J44" s="256"/>
      <c r="K44" s="141" t="s">
        <v>201</v>
      </c>
      <c r="L44" s="210">
        <f>IF($Q32&gt;$L23,C$22*$L23+C$23*($Q32-$L23),$Q32*C$22)+('Hypothetical SAR and RAR'!$C$21*$Q32)</f>
        <v>174.35540445663818</v>
      </c>
      <c r="M44" s="210">
        <f>IF($R32&gt;$M23,C$25*$M23+C$26*($R32-$M23),$R32*C$25)+('Hypothetical SAR and RAR'!$C$21*$R32)</f>
        <v>87.22220038925245</v>
      </c>
      <c r="N44" s="210">
        <f>$F$15+IF($Q32&gt;$L23,D$22*$L23+D$23*($Q32-$L23),$Q32*D$22)+('Hypothetical SAR and RAR'!$C$21*$Q32)</f>
        <v>177.20496742394198</v>
      </c>
      <c r="O44" s="210">
        <f>$F$15+IF($R32&gt;$M23,D$22*$M23+D$23*($R32-$M23),$R32*D$22)+('Hypothetical SAR and RAR'!$C$21*$R32)</f>
        <v>100.54308426141918</v>
      </c>
      <c r="P44" s="210">
        <f>$F$15+IF($Q32&gt;$L23,E$22*$L23+E$23*($Q32-$L23),$Q32*E$22)+('Hypothetical SAR and RAR'!$C$21*$Q32)</f>
        <v>177.20496742394198</v>
      </c>
      <c r="Q44" s="210">
        <f>$F$15+IF($R32&gt;$M23,E$25*$M23+E$26*($R32-$M23),$R32*E$25)+('Hypothetical SAR and RAR'!$C$21*$R32)</f>
        <v>100.54308426141918</v>
      </c>
      <c r="R44" s="482"/>
      <c r="S44" s="482"/>
      <c r="T44" s="482"/>
      <c r="U44" s="482"/>
      <c r="W44" s="482"/>
      <c r="X44" s="482"/>
      <c r="Y44" s="482"/>
      <c r="Z44" s="482"/>
    </row>
    <row r="45" spans="1:27">
      <c r="B45" s="141" t="s">
        <v>202</v>
      </c>
      <c r="C45" s="210">
        <f>IF($Q24&gt;$I24,C$22*$I24+C$23*($Q24-$I24),$Q24*C$22)+('Hypothetical SAR and RAR'!$C$21*$Q24)</f>
        <v>149.04047328494519</v>
      </c>
      <c r="D45" s="210">
        <f>IF($R24&gt;$J24,C$25*$J24+C$26*($R24-$J24),$R24*C$25)+('Hypothetical SAR and RAR'!$C$21*$R24)</f>
        <v>113.32519532858434</v>
      </c>
      <c r="E45" s="210">
        <f>$F$15+IF($Q24&gt;$I24,D$22*$I24+D$23*($Q24-$I24),$Q24*D$22)+('Hypothetical SAR and RAR'!$C$21*$Q24)</f>
        <v>154.93228370338494</v>
      </c>
      <c r="F45" s="210">
        <f>$F$15+IF($R24&gt;$J24,D$25*$J24+D$26*($R24-$J24),$R24*D$25)+('Hypothetical SAR and RAR'!$C$21*$R24)</f>
        <v>123.50912538947642</v>
      </c>
      <c r="G45" s="210">
        <f>$F$15+IF($Q24&gt;$I24,E$22*$I24+E$23*($Q24-$I24),$Q24*E$22)+('Hypothetical SAR and RAR'!$C$21*$Q24)</f>
        <v>154.93228370338494</v>
      </c>
      <c r="H45" s="210">
        <f>$F$15+IF($R24&gt;$J24,E$25*$J24+E$26*($R24-$J24),$R24*E$25)+('Hypothetical SAR and RAR'!$C$21*$R24)</f>
        <v>123.50912538947642</v>
      </c>
      <c r="I45" s="256"/>
      <c r="J45" s="256"/>
      <c r="K45" s="141" t="s">
        <v>202</v>
      </c>
      <c r="L45" s="210">
        <f>IF($Q33&gt;$L24,C$22*$L24+C$23*($Q33-$L24),$Q33*C$22)+('Hypothetical SAR and RAR'!$C$21*$Q33)</f>
        <v>151.2320816146802</v>
      </c>
      <c r="M45" s="210">
        <f>IF($R33&gt;$M24,C$25*$M24+C$26*($R33-$M24),$R33*C$25)+('Hypothetical SAR and RAR'!$C$21*$R33)</f>
        <v>142.54165416699146</v>
      </c>
      <c r="N45" s="210">
        <f>$F$15+IF($Q33&gt;$L24,D$22*$L24+D$23*($Q33-$L24),$Q33*D$22)+('Hypothetical SAR and RAR'!$C$21*$Q33)</f>
        <v>156.86051328601596</v>
      </c>
      <c r="O45" s="210">
        <f>$F$15+IF($R33&gt;$M24,D$22*$M24+D$23*($R33-$M24),$R33*D$22)+('Hypothetical SAR and RAR'!$C$21*$R33)</f>
        <v>149.21446674431115</v>
      </c>
      <c r="P45" s="210">
        <f>$F$15+IF($Q33&gt;$L24,E$22*$L24+E$23*($Q33-$L24),$Q33*E$22)+('Hypothetical SAR and RAR'!$C$21*$Q33)</f>
        <v>156.86051328601596</v>
      </c>
      <c r="Q45" s="210">
        <f>$F$15+IF($R33&gt;$M24,E$25*$M24+E$26*($R33-$M24),$R33*E$25)+('Hypothetical SAR and RAR'!$C$21*$R33)</f>
        <v>149.21446674431115</v>
      </c>
      <c r="R45" s="482"/>
      <c r="S45" s="482"/>
      <c r="T45" s="482"/>
      <c r="U45" s="482"/>
      <c r="W45" s="482"/>
      <c r="X45" s="482"/>
      <c r="Y45" s="482"/>
      <c r="Z45" s="482"/>
      <c r="AA45" s="10"/>
    </row>
    <row r="46" spans="1:27">
      <c r="B46" s="144" t="s">
        <v>203</v>
      </c>
      <c r="C46" s="210">
        <f>IF($Q25&gt;$I25,C$22*$I25+C$23*($Q25-$I25),$Q25*C$22)+('Hypothetical SAR and RAR'!$C$21*$Q25)</f>
        <v>184.87550387979113</v>
      </c>
      <c r="D46" s="210">
        <f>IF($R25&gt;$J25,C$25*$J25+C$26*($R25-$J25),$R25*C$25)+('Hypothetical SAR and RAR'!$C$21*$R25)</f>
        <v>139.24519900340138</v>
      </c>
      <c r="E46" s="210">
        <f>$F$15+IF($Q25&gt;$I25,D$22*$I25+D$23*($Q25-$I25),$Q25*D$22)+('Hypothetical SAR and RAR'!$C$21*$Q25)</f>
        <v>186.46024860684133</v>
      </c>
      <c r="F46" s="210">
        <f>$F$15+IF($R25&gt;$J25,D$25*$J25+D$26*($R25-$J25),$R25*D$25)+('Hypothetical SAR and RAR'!$C$21*$R25)</f>
        <v>146.31416641326629</v>
      </c>
      <c r="G46" s="210">
        <f>$F$15+IF($Q25&gt;$I25,E$22*$I25+E$23*($Q25-$I25),$Q25*E$22)+('Hypothetical SAR and RAR'!$C$21*$Q25)</f>
        <v>186.46024860684133</v>
      </c>
      <c r="H46" s="210">
        <f>$F$15+IF($R25&gt;$J25,E$25*$J25+E$26*($R25-$J25),$R25*E$25)+('Hypothetical SAR and RAR'!$C$21*$R25)</f>
        <v>146.31416641326629</v>
      </c>
      <c r="I46" s="256"/>
      <c r="J46" s="256"/>
      <c r="K46" s="144" t="s">
        <v>203</v>
      </c>
      <c r="L46" s="210">
        <f>IF($Q34&gt;$L25,C$22*$L25+C$23*($Q34-$L25),$Q34*C$22)+('Hypothetical SAR and RAR'!$C$21*$Q34)</f>
        <v>192.610948721276</v>
      </c>
      <c r="M46" s="210">
        <f>IF($R34&gt;$M25,C$25*$M25+C$26*($R34-$M25),$R34*C$25)+('Hypothetical SAR and RAR'!$C$21*$R34)</f>
        <v>207.19184932382052</v>
      </c>
      <c r="N46" s="210">
        <f>$F$15+IF($Q34&gt;$L25,D$22*$L25+D$23*($Q34-$L25),$Q34*D$22)+('Hypothetical SAR and RAR'!$C$21*$Q34)</f>
        <v>193.26443254126445</v>
      </c>
      <c r="O46" s="210">
        <f>$F$15+IF($R34&gt;$M25,D$22*$M25+D$23*($R34-$M25),$R34*D$22)+('Hypothetical SAR and RAR'!$C$21*$R34)</f>
        <v>206.09503341796781</v>
      </c>
      <c r="P46" s="210">
        <f>$F$15+IF($Q34&gt;$L25,E$22*$L25+E$23*($Q34-$L25),$Q34*E$22)+('Hypothetical SAR and RAR'!$C$21*$Q34)</f>
        <v>193.26443254126445</v>
      </c>
      <c r="Q46" s="210">
        <f>$F$15+IF($R34&gt;$M25,E$25*$M25+E$26*($R34-$M25),$R34*E$25)+('Hypothetical SAR and RAR'!$C$21*$R34)</f>
        <v>206.09503341796781</v>
      </c>
      <c r="R46" s="482"/>
      <c r="S46" s="482"/>
      <c r="T46" s="482"/>
      <c r="U46" s="482"/>
      <c r="W46" s="482"/>
      <c r="X46" s="482"/>
      <c r="Y46" s="482"/>
      <c r="Z46" s="482"/>
    </row>
    <row r="47" spans="1:27" s="10" customFormat="1">
      <c r="B47" s="6" t="s">
        <v>113</v>
      </c>
      <c r="C47" s="211">
        <f t="shared" ref="C47:H47" si="4">SUMPRODUCT(C43:C46,$U$22:$U$25)</f>
        <v>161.84172827744715</v>
      </c>
      <c r="D47" s="211">
        <f t="shared" si="4"/>
        <v>132.70704160376479</v>
      </c>
      <c r="E47" s="211">
        <f t="shared" si="4"/>
        <v>166.19491539420909</v>
      </c>
      <c r="F47" s="211">
        <f t="shared" si="4"/>
        <v>140.56173869028837</v>
      </c>
      <c r="G47" s="211">
        <f>SUMPRODUCT(G43:G46,$U$22:$U$25)</f>
        <v>166.19491539420909</v>
      </c>
      <c r="H47" s="211">
        <f t="shared" si="4"/>
        <v>140.56173869028837</v>
      </c>
      <c r="I47" s="257"/>
      <c r="J47" s="257"/>
      <c r="K47" s="6" t="s">
        <v>113</v>
      </c>
      <c r="L47" s="211">
        <f t="shared" ref="L47:Q47" si="5">SUMPRODUCT(L43:L46,$U$31:$U$34)</f>
        <v>155.97853910012617</v>
      </c>
      <c r="M47" s="211">
        <f t="shared" si="5"/>
        <v>150.73757990613655</v>
      </c>
      <c r="N47" s="211">
        <f t="shared" si="5"/>
        <v>161.03486055617077</v>
      </c>
      <c r="O47" s="211">
        <f t="shared" si="5"/>
        <v>156.42535169239648</v>
      </c>
      <c r="P47" s="211">
        <f t="shared" si="5"/>
        <v>161.03486055617077</v>
      </c>
      <c r="Q47" s="211">
        <f t="shared" si="5"/>
        <v>156.42535169239648</v>
      </c>
      <c r="R47" s="482"/>
      <c r="S47" s="482"/>
      <c r="T47" s="482"/>
      <c r="U47" s="482"/>
      <c r="W47" s="482"/>
      <c r="X47" s="482"/>
      <c r="Y47" s="482"/>
      <c r="Z47" s="482"/>
      <c r="AA47" s="6"/>
    </row>
    <row r="48" spans="1:27">
      <c r="B48" s="7"/>
      <c r="C48" s="388"/>
      <c r="D48" s="388"/>
      <c r="E48" s="388"/>
      <c r="F48" s="388"/>
      <c r="G48" s="147"/>
      <c r="H48" s="147"/>
      <c r="I48" s="147"/>
      <c r="J48" s="147"/>
      <c r="K48" s="7"/>
      <c r="L48" s="208"/>
      <c r="M48" s="208"/>
      <c r="N48" s="209"/>
      <c r="O48" s="146"/>
      <c r="P48" s="147"/>
      <c r="Q48" s="147"/>
    </row>
    <row r="49" spans="2:27">
      <c r="B49" s="7"/>
      <c r="C49" s="208"/>
      <c r="D49" s="208"/>
      <c r="E49" s="209"/>
      <c r="F49" s="208"/>
      <c r="G49" s="147"/>
      <c r="H49" s="147"/>
      <c r="I49" s="147"/>
      <c r="J49" s="147"/>
      <c r="K49" s="7"/>
      <c r="L49" s="208"/>
      <c r="M49" s="208"/>
      <c r="N49" s="209"/>
      <c r="O49" s="208"/>
      <c r="P49" s="147"/>
      <c r="Q49" s="147"/>
    </row>
    <row r="50" spans="2:27">
      <c r="B50" s="7"/>
      <c r="C50" s="522" t="str">
        <f>'Res Bill Impact'!C50</f>
        <v>2024 Recorded Average Basic Bundled CARE Customer Bill</v>
      </c>
      <c r="D50" s="384"/>
      <c r="E50" s="384"/>
      <c r="F50" s="384"/>
      <c r="G50" s="384"/>
      <c r="H50" s="516"/>
      <c r="K50" s="7"/>
      <c r="L50" s="522" t="str">
        <f>'Res Bill Impact'!N50</f>
        <v xml:space="preserve">2024 Recorded Average All-Electric Bundled CARE Customer </v>
      </c>
      <c r="M50" s="523"/>
      <c r="N50" s="523"/>
      <c r="O50" s="523"/>
      <c r="P50" s="523"/>
      <c r="Q50" s="524"/>
    </row>
    <row r="51" spans="2:27">
      <c r="B51" s="7"/>
      <c r="C51" s="594" t="str">
        <f>C30</f>
        <v>6/1/2025</v>
      </c>
      <c r="D51" s="594"/>
      <c r="E51" s="593" t="str">
        <f>D30</f>
        <v>10/1/25</v>
      </c>
      <c r="F51" s="594"/>
      <c r="G51" s="594" t="str">
        <f>E30</f>
        <v>Proposed</v>
      </c>
      <c r="H51" s="594"/>
      <c r="I51" s="596"/>
      <c r="J51" s="597"/>
      <c r="K51" s="7"/>
      <c r="L51" s="263" t="str">
        <f>L41</f>
        <v>6/1/2025</v>
      </c>
      <c r="M51" s="263"/>
      <c r="N51" s="264" t="str">
        <f>N41</f>
        <v>10/1/25</v>
      </c>
      <c r="O51" s="263"/>
      <c r="P51" s="263" t="str">
        <f>P41</f>
        <v>Proposed</v>
      </c>
      <c r="Q51" s="263"/>
    </row>
    <row r="52" spans="2:27">
      <c r="B52" s="7"/>
      <c r="C52" s="208" t="s">
        <v>196</v>
      </c>
      <c r="D52" s="208" t="s">
        <v>197</v>
      </c>
      <c r="E52" s="208" t="s">
        <v>196</v>
      </c>
      <c r="F52" s="208" t="s">
        <v>197</v>
      </c>
      <c r="G52" s="208" t="s">
        <v>196</v>
      </c>
      <c r="H52" s="208" t="s">
        <v>197</v>
      </c>
      <c r="I52" s="256"/>
      <c r="J52" s="256"/>
      <c r="K52" s="7"/>
      <c r="L52" s="208" t="s">
        <v>196</v>
      </c>
      <c r="M52" s="208" t="s">
        <v>197</v>
      </c>
      <c r="N52" s="208" t="s">
        <v>196</v>
      </c>
      <c r="O52" s="208" t="s">
        <v>197</v>
      </c>
      <c r="P52" s="208" t="s">
        <v>196</v>
      </c>
      <c r="Q52" s="208" t="s">
        <v>197</v>
      </c>
    </row>
    <row r="53" spans="2:27">
      <c r="B53" s="138" t="s">
        <v>129</v>
      </c>
      <c r="C53" s="210">
        <f>IF($S22&gt;$I22,C$31*$I22+C$32*($S22-$I22),$S22*C$31)+('Hypothetical SAR and RAR'!$C$21*$S22)</f>
        <v>88.90344679188</v>
      </c>
      <c r="D53" s="210">
        <f>IF($T22&gt;$J22,C$34*$J22+C$35*($T22-$J22),$T22*C$34)+('Hypothetical SAR and RAR'!$C$21*$T22)</f>
        <v>78.669621078329982</v>
      </c>
      <c r="E53" s="210">
        <f>$Q$15+IF($S22&gt;$I22,D$31*$I22+D$32*($S22-$I22),$S22*D$31)+('Hypothetical SAR and RAR'!$C$21*$S22)</f>
        <v>86.345264459719999</v>
      </c>
      <c r="F53" s="210">
        <f>$Q$15+IF($T22&gt;$J22,D$34*$J22+D$35*($T22-$J22),$T22*D$34)+('Hypothetical SAR and RAR'!$C$21*$T22)</f>
        <v>77.086639899769992</v>
      </c>
      <c r="G53" s="210">
        <f>$Q$15+IF($S22&gt;$I22,E$31*$I22+E$32*($S22-$I22),$S22*E$31)+('Hypothetical SAR and RAR'!$C$21*$S22)</f>
        <v>86.345264459719985</v>
      </c>
      <c r="H53" s="210">
        <f>$Q$15+IF($T22&gt;$J22,E$34*$J22+E$35*($T22-$J22),$T22*E$34)+('Hypothetical SAR and RAR'!$C$21*$T22)</f>
        <v>77.086639899769978</v>
      </c>
      <c r="I53" s="256"/>
      <c r="J53" s="256"/>
      <c r="K53" s="138" t="s">
        <v>129</v>
      </c>
      <c r="L53" s="210">
        <f>IF($S31&gt;$L22,C$31*$L22+C$32*($S31-$L22),$S31*C$31)+('Hypothetical SAR and RAR'!$C$21*$S31)</f>
        <v>84.468624920400003</v>
      </c>
      <c r="M53" s="210">
        <f>IF($T31&gt;$M22,C$34*$M22+C$35*($T31-$M22),$T31*C$34)+('Hypothetical SAR and RAR'!$C$21*$T31)</f>
        <v>75.129805142069998</v>
      </c>
      <c r="N53" s="210">
        <f>$Q$15+IF($S31&gt;$L22,D$31*$L22+D$32*($S31-$L22),$S31*D$31)+('Hypothetical SAR and RAR'!$C$21*$S31)</f>
        <v>82.215085948000009</v>
      </c>
      <c r="O53" s="210">
        <f>$Q$15+IF($T31&gt;$M22,D$34*$M22+D$35*($T31-$M22),$T31*D$34)+('Hypothetical SAR and RAR'!$C$21*$T31)</f>
        <v>73.884139907830004</v>
      </c>
      <c r="P53" s="210">
        <f>$Q$15+IF($S31&gt;$L22,E$31*$L22+E$32*($S31-$L22),$S31*E$31)+('Hypothetical SAR and RAR'!$C$21*$S31)</f>
        <v>82.215085947999995</v>
      </c>
      <c r="Q53" s="210">
        <f>$Q$15+IF($T31&gt;$M22,E$34*$M22+E$35*($T31-$M22),$T31*E$34)+('Hypothetical SAR and RAR'!$C$21*$T31)</f>
        <v>73.88413990782999</v>
      </c>
      <c r="R53" s="482"/>
      <c r="S53" s="482"/>
      <c r="T53" s="482"/>
      <c r="U53" s="482"/>
      <c r="W53" s="482"/>
      <c r="X53" s="482"/>
      <c r="Y53" s="482"/>
      <c r="Z53" s="482"/>
    </row>
    <row r="54" spans="2:27">
      <c r="B54" s="141" t="s">
        <v>201</v>
      </c>
      <c r="C54" s="210">
        <f>IF($S23&gt;$I23,C$31*$I23+C$32*($S23-$I23),$S23*C$31)+('Hypothetical SAR and RAR'!$C$21*$S23)</f>
        <v>205.66086310470001</v>
      </c>
      <c r="D54" s="210">
        <f>IF($T23&gt;$J23,C$34*$J23+C$35*($T23-$J23),$T23*C$34)+('Hypothetical SAR and RAR'!$C$21*$T23)</f>
        <v>84.837662922269999</v>
      </c>
      <c r="E54" s="210">
        <f>$Q$15+IF($S23&gt;$I23,D$31*$I23+D$32*($S23-$I23),$S23*D$31)+('Hypothetical SAR and RAR'!$C$21*$S23)</f>
        <v>191.62979468900002</v>
      </c>
      <c r="F54" s="210">
        <f>$Q$15+IF($T23&gt;$J23,D$34*$J23+D$35*($T23-$J23),$T23*D$34)+('Hypothetical SAR and RAR'!$C$21*$T23)</f>
        <v>82.666917041630001</v>
      </c>
      <c r="G54" s="210">
        <f>$Q$15+IF($S23&gt;$I23,E$31*$I23+E$32*($S23-$I23),$S23*E$31)+('Hypothetical SAR and RAR'!$C$21*$S23)</f>
        <v>191.62979468900002</v>
      </c>
      <c r="H54" s="210">
        <f>$Q$15+IF($T23&gt;$J23,E$34*$J23+E$35*($T23-$J23),$T23*E$34)+('Hypothetical SAR and RAR'!$C$21*$T23)</f>
        <v>82.666917041630001</v>
      </c>
      <c r="I54" s="256"/>
      <c r="J54" s="256"/>
      <c r="K54" s="141" t="s">
        <v>201</v>
      </c>
      <c r="L54" s="210">
        <f>IF($S32&gt;$L23,C$31*$L23+C$32*($S32-$L23),$S32*C$31)+('Hypothetical SAR and RAR'!$C$21*$S32)</f>
        <v>225.04225240890003</v>
      </c>
      <c r="M54" s="210">
        <f>IF($T32&gt;$M23,C$34*$M23+C$35*($T32-$M23),$T32*C$34)+('Hypothetical SAR and RAR'!$C$21*$T32)</f>
        <v>119.90863588323</v>
      </c>
      <c r="N54" s="210">
        <f>$Q$15+IF($S32&gt;$L23,D$31*$L23+D$32*($S32-$L23),$S32*D$31)+('Hypothetical SAR and RAR'!$C$21*$S32)</f>
        <v>209.15006894300004</v>
      </c>
      <c r="O54" s="210">
        <f>$Q$15+IF($T32&gt;$M23,D$34*$M23+D$35*($T32-$M23),$T32*D$34)+('Hypothetical SAR and RAR'!$C$21*$T32)</f>
        <v>114.39590878787</v>
      </c>
      <c r="P54" s="210">
        <f>$Q$15+IF($S32&gt;$L23,E$31*$L23+E$32*($S32-$L23),$S32*E$31)+('Hypothetical SAR and RAR'!$C$21*$S32)</f>
        <v>209.15006894300004</v>
      </c>
      <c r="Q54" s="210">
        <f>$Q$15+IF($T32&gt;$M23,E$34*$M23+E$35*($T32-$M23),$T32*E$34)+('Hypothetical SAR and RAR'!$C$21*$T32)</f>
        <v>114.39590878787</v>
      </c>
      <c r="R54" s="482"/>
      <c r="S54" s="482"/>
      <c r="T54" s="482"/>
      <c r="U54" s="482"/>
      <c r="W54" s="482"/>
      <c r="X54" s="482"/>
      <c r="Y54" s="482"/>
      <c r="Z54" s="482"/>
    </row>
    <row r="55" spans="2:27">
      <c r="B55" s="141" t="s">
        <v>202</v>
      </c>
      <c r="C55" s="210">
        <f>IF($S24&gt;$I24,C$31*$I24+C$32*($S24-$I24),$S24*C$31)+('Hypothetical SAR and RAR'!$C$21*$S24)</f>
        <v>117.59209840068</v>
      </c>
      <c r="D55" s="210">
        <f>IF($T24&gt;$J24,C$34*$J24+C$35*($T24-$J24),$T24*C$34)+('Hypothetical SAR and RAR'!$C$21*$T24)</f>
        <v>89.27699633508</v>
      </c>
      <c r="E55" s="210">
        <f>$Q$15+IF($S24&gt;$I24,D$31*$I24+D$32*($S24-$I24),$S24*D$31)+('Hypothetical SAR and RAR'!$C$21*$S24)</f>
        <v>112.30011866692</v>
      </c>
      <c r="F55" s="210">
        <f>$Q$15+IF($T24&gt;$J24,D$34*$J24+D$35*($T24-$J24),$T24*D$34)+('Hypothetical SAR and RAR'!$C$21*$T24)</f>
        <v>86.683217740520007</v>
      </c>
      <c r="G55" s="210">
        <f>$Q$15+IF($S24&gt;$I24,E$31*$I24+E$32*($S24-$I24),$S24*E$31)+('Hypothetical SAR and RAR'!$C$21*$S24)</f>
        <v>112.30011866691999</v>
      </c>
      <c r="H55" s="210">
        <f>$Q$15+IF($T24&gt;$J24,E$34*$J24+E$35*($T24-$J24),$T24*E$34)+('Hypothetical SAR and RAR'!$C$21*$T24)</f>
        <v>86.683217740519993</v>
      </c>
      <c r="I55" s="256"/>
      <c r="J55" s="256"/>
      <c r="K55" s="141" t="s">
        <v>202</v>
      </c>
      <c r="L55" s="210">
        <f>IF($S33&gt;$L24,C$31*$L24+C$32*($S33-$L24),$S33*C$31)+('Hypothetical SAR and RAR'!$C$21*$S33)</f>
        <v>109.60366230987</v>
      </c>
      <c r="M55" s="210">
        <f>IF($T33&gt;$M24,C$34*$M24+C$35*($T33-$M24),$T33*C$34)+('Hypothetical SAR and RAR'!$C$21*$T33)</f>
        <v>92.512610330010006</v>
      </c>
      <c r="N55" s="210">
        <f>$Q$15+IF($S33&gt;$L24,D$31*$L24+D$32*($S33-$L24),$S33*D$31)+('Hypothetical SAR and RAR'!$C$21*$S33)</f>
        <v>105.07291618603001</v>
      </c>
      <c r="O55" s="210">
        <f>$Q$15+IF($T33&gt;$M24,D$34*$M24+D$35*($T33-$M24),$T33*D$34)+('Hypothetical SAR and RAR'!$C$21*$T33)</f>
        <v>89.610503785690014</v>
      </c>
      <c r="P55" s="210">
        <f>$Q$15+IF($S33&gt;$L24,E$31*$L24+E$32*($S33-$L24),$S33*E$31)+('Hypothetical SAR and RAR'!$C$21*$S33)</f>
        <v>105.07291618603</v>
      </c>
      <c r="Q55" s="210">
        <f>$Q$15+IF($T33&gt;$M24,E$34*$M24+E$35*($T33-$M24),$T33*E$34)+('Hypothetical SAR and RAR'!$C$21*$T33)</f>
        <v>89.61050378569</v>
      </c>
      <c r="R55" s="482"/>
      <c r="S55" s="482"/>
      <c r="T55" s="482"/>
      <c r="U55" s="482"/>
      <c r="W55" s="482"/>
      <c r="X55" s="482"/>
      <c r="Y55" s="482"/>
      <c r="Z55" s="482"/>
    </row>
    <row r="56" spans="2:27">
      <c r="B56" s="144" t="s">
        <v>203</v>
      </c>
      <c r="C56" s="210">
        <f>IF($S25&gt;$I25,C$31*$I25+C$32*($S25-$I25),$S25*C$31)+('Hypothetical SAR and RAR'!$C$21*$S25)</f>
        <v>191.00115018420001</v>
      </c>
      <c r="D56" s="210">
        <f>IF($T25&gt;$J25,C$34*$J25+C$35*($T25-$J25),$T25*C$34)+('Hypothetical SAR and RAR'!$C$21*$T25)</f>
        <v>167.0415704202</v>
      </c>
      <c r="E56" s="210">
        <f>$Q$15+IF($S25&gt;$I25,D$31*$I25+D$32*($S25-$I25),$S25*D$31)+('Hypothetical SAR and RAR'!$C$21*$S25)</f>
        <v>178.26980985400002</v>
      </c>
      <c r="F56" s="210">
        <f>$Q$15+IF($T25&gt;$J25,D$34*$J25+D$35*($T25-$J25),$T25*D$34)+('Hypothetical SAR and RAR'!$C$21*$T25)</f>
        <v>156.675863174</v>
      </c>
      <c r="G56" s="210">
        <f>$Q$15+IF($S25&gt;$I25,E$31*$I25+E$32*($S25-$I25),$S25*E$31)+('Hypothetical SAR and RAR'!$C$21*$S25)</f>
        <v>178.26980985400002</v>
      </c>
      <c r="H56" s="210">
        <f>$Q$15+IF($T25&gt;$J25,E$34*$J25+E$35*($T25-$J25),$T25*E$34)+('Hypothetical SAR and RAR'!$C$21*$T25)</f>
        <v>156.675863174</v>
      </c>
      <c r="I56" s="256"/>
      <c r="J56" s="256"/>
      <c r="K56" s="144" t="s">
        <v>203</v>
      </c>
      <c r="L56" s="210">
        <f>IF($S34&gt;$L25,C$31*$L25+C$32*($S34-$L25),$S34*C$31)+('Hypothetical SAR and RAR'!$C$21*$S34)</f>
        <v>199.82157845429998</v>
      </c>
      <c r="M56" s="210">
        <f>IF($T34&gt;$M25,C$34*$M25+C$35*($T34-$M25),$T34*C$34)+('Hypothetical SAR and RAR'!$C$21*$T34)</f>
        <v>214.99970246730001</v>
      </c>
      <c r="N56" s="210">
        <f>$Q$15+IF($S34&gt;$L25,D$31*$L25+D$32*($S34-$L25),$S34*D$31)+('Hypothetical SAR and RAR'!$C$21*$S34)</f>
        <v>186.11076364099998</v>
      </c>
      <c r="O56" s="210">
        <f>$Q$15+IF($T34&gt;$M25,D$34*$M25+D$35*($T34-$M25),$T34*D$34)+('Hypothetical SAR and RAR'!$C$21*$T34)</f>
        <v>199.95113895100002</v>
      </c>
      <c r="P56" s="210">
        <f>$Q$15+IF($S34&gt;$L25,E$31*$L25+E$32*($S34-$L25),$S34*E$31)+('Hypothetical SAR and RAR'!$C$21*$S34)</f>
        <v>186.11076364099998</v>
      </c>
      <c r="Q56" s="210">
        <f>$Q$15+IF($T34&gt;$M25,E$34*$M25+E$35*($T34-$M25),$T34*E$34)+('Hypothetical SAR and RAR'!$C$21*$T34)</f>
        <v>199.95113895100002</v>
      </c>
      <c r="R56" s="482"/>
      <c r="S56" s="482"/>
      <c r="T56" s="482"/>
      <c r="U56" s="482"/>
      <c r="W56" s="482"/>
      <c r="X56" s="482"/>
      <c r="Y56" s="482"/>
      <c r="Z56" s="482"/>
    </row>
    <row r="57" spans="2:27">
      <c r="B57" s="6" t="s">
        <v>113</v>
      </c>
      <c r="C57" s="211">
        <f t="shared" ref="C57:H57" si="6">SUMPRODUCT(C53:C56,$V$22:$V$25)</f>
        <v>139.63772543849851</v>
      </c>
      <c r="D57" s="211">
        <f t="shared" si="6"/>
        <v>121.78779430277953</v>
      </c>
      <c r="E57" s="211">
        <f t="shared" si="6"/>
        <v>132.02581488098991</v>
      </c>
      <c r="F57" s="211">
        <f t="shared" si="6"/>
        <v>115.91984533485848</v>
      </c>
      <c r="G57" s="211">
        <f t="shared" si="6"/>
        <v>132.02581488098991</v>
      </c>
      <c r="H57" s="211">
        <f t="shared" si="6"/>
        <v>115.91984533485846</v>
      </c>
      <c r="I57" s="211"/>
      <c r="J57" s="211"/>
      <c r="K57" s="6" t="s">
        <v>113</v>
      </c>
      <c r="L57" s="211">
        <f t="shared" ref="L57:Q57" si="7">SUMPRODUCT(L53:L56,$V$31:$V$34)</f>
        <v>148.51610920456355</v>
      </c>
      <c r="M57" s="211">
        <f t="shared" si="7"/>
        <v>150.96132398387888</v>
      </c>
      <c r="N57" s="211">
        <f t="shared" si="7"/>
        <v>139.90653300377676</v>
      </c>
      <c r="O57" s="211">
        <f t="shared" si="7"/>
        <v>142.23468220726238</v>
      </c>
      <c r="P57" s="211">
        <f t="shared" si="7"/>
        <v>139.90653300377676</v>
      </c>
      <c r="Q57" s="211">
        <f t="shared" si="7"/>
        <v>142.23468220726238</v>
      </c>
      <c r="R57" s="482"/>
      <c r="S57" s="482"/>
      <c r="T57" s="482"/>
      <c r="U57" s="482"/>
      <c r="W57" s="482"/>
      <c r="X57" s="482"/>
      <c r="Y57" s="482"/>
      <c r="Z57" s="482"/>
    </row>
    <row r="58" spans="2:27">
      <c r="B58" s="7"/>
      <c r="C58" s="388"/>
      <c r="D58" s="388"/>
      <c r="E58" s="388"/>
      <c r="F58" s="388"/>
      <c r="G58" s="147"/>
      <c r="H58" s="147"/>
      <c r="I58" s="147"/>
      <c r="J58" s="147"/>
      <c r="K58" s="7"/>
      <c r="L58" s="208"/>
      <c r="M58" s="208"/>
      <c r="N58" s="209"/>
      <c r="O58" s="208"/>
      <c r="P58" s="147"/>
      <c r="Q58" s="147"/>
    </row>
    <row r="59" spans="2:27">
      <c r="B59" s="7"/>
      <c r="C59" s="208"/>
      <c r="D59" s="208"/>
      <c r="E59" s="209"/>
      <c r="G59" s="147"/>
      <c r="H59" s="147"/>
      <c r="I59" s="147"/>
      <c r="K59" s="7"/>
      <c r="L59" s="208"/>
      <c r="M59" s="208"/>
      <c r="N59" s="209"/>
      <c r="P59" s="147"/>
      <c r="Q59" s="147"/>
    </row>
    <row r="60" spans="2:27">
      <c r="B60" s="7"/>
      <c r="C60" s="587" t="s">
        <v>273</v>
      </c>
      <c r="D60" s="587"/>
      <c r="E60" s="587"/>
      <c r="F60" s="587"/>
      <c r="G60" s="587"/>
      <c r="H60" s="587"/>
      <c r="K60" s="7"/>
      <c r="L60" s="587" t="s">
        <v>278</v>
      </c>
      <c r="M60" s="587"/>
      <c r="N60" s="587"/>
      <c r="O60" s="587"/>
      <c r="P60" s="587"/>
      <c r="Q60" s="587"/>
    </row>
    <row r="61" spans="2:27">
      <c r="B61" s="7"/>
      <c r="C61" s="594" t="str">
        <f>C51</f>
        <v>6/1/2025</v>
      </c>
      <c r="D61" s="594"/>
      <c r="E61" s="593" t="str">
        <f>D30</f>
        <v>10/1/25</v>
      </c>
      <c r="F61" s="594"/>
      <c r="G61" s="594" t="str">
        <f>G51</f>
        <v>Proposed</v>
      </c>
      <c r="H61" s="594"/>
      <c r="I61" s="596"/>
      <c r="J61" s="597"/>
      <c r="K61" s="7"/>
      <c r="L61" s="263" t="str">
        <f>L51</f>
        <v>6/1/2025</v>
      </c>
      <c r="M61" s="263"/>
      <c r="N61" s="264" t="str">
        <f>N51</f>
        <v>10/1/25</v>
      </c>
      <c r="O61" s="263"/>
      <c r="P61" s="263" t="str">
        <f>P51</f>
        <v>Proposed</v>
      </c>
      <c r="Q61" s="263"/>
    </row>
    <row r="62" spans="2:27" ht="15" customHeight="1">
      <c r="B62" s="7"/>
      <c r="C62" s="208" t="s">
        <v>196</v>
      </c>
      <c r="D62" s="208" t="s">
        <v>197</v>
      </c>
      <c r="E62" s="208" t="s">
        <v>196</v>
      </c>
      <c r="F62" s="208" t="s">
        <v>197</v>
      </c>
      <c r="G62" s="208" t="s">
        <v>196</v>
      </c>
      <c r="H62" s="208" t="s">
        <v>197</v>
      </c>
      <c r="I62" s="256"/>
      <c r="J62" s="256"/>
      <c r="K62" s="7"/>
      <c r="L62" s="208" t="s">
        <v>196</v>
      </c>
      <c r="M62" s="208" t="s">
        <v>197</v>
      </c>
      <c r="N62" s="208" t="s">
        <v>196</v>
      </c>
      <c r="O62" s="208" t="s">
        <v>197</v>
      </c>
      <c r="P62" s="208" t="s">
        <v>196</v>
      </c>
      <c r="Q62" s="208" t="s">
        <v>197</v>
      </c>
    </row>
    <row r="63" spans="2:27" ht="15" customHeight="1">
      <c r="B63" s="138" t="s">
        <v>129</v>
      </c>
      <c r="C63" s="210">
        <f>($C$22*$I31)+('Hypothetical SAR and RAR'!$C$21*$I31)</f>
        <v>115.00874401247803</v>
      </c>
      <c r="D63" s="210">
        <f>($C$25*$J31)+('Hypothetical SAR and RAR'!$C$21*$J31)</f>
        <v>117.56449387942199</v>
      </c>
      <c r="E63" s="210">
        <f>$F$15+($D$22*$I31)+('Hypothetical SAR and RAR'!$C$21*$I31)</f>
        <v>124.99035190793732</v>
      </c>
      <c r="F63" s="210">
        <f>$F$15+($D$25*$J31)+('Hypothetical SAR and RAR'!$C$21*$J31)</f>
        <v>127.23896195033593</v>
      </c>
      <c r="G63" s="210">
        <f>$F$15+($E$22*$I31)+('Hypothetical SAR and RAR'!$C$21*$I31)</f>
        <v>124.99035190793732</v>
      </c>
      <c r="H63" s="210">
        <f>$F$15+($E$25*$J31)+('Hypothetical SAR and RAR'!$C$21*$J31)</f>
        <v>127.23896195033593</v>
      </c>
      <c r="I63" s="256"/>
      <c r="J63" s="256"/>
      <c r="K63" s="138" t="s">
        <v>129</v>
      </c>
      <c r="L63" s="210">
        <f>($C$22*$L31)+('Hypothetical SAR and RAR'!$C$21*$L31)</f>
        <v>77.098454319476019</v>
      </c>
      <c r="M63" s="210">
        <f>($C$25*$M31)+('Hypothetical SAR and RAR'!$C$21*$M31)</f>
        <v>112.45299414553408</v>
      </c>
      <c r="N63" s="210">
        <f>$F$15+($D$22*$L31)+('Hypothetical SAR and RAR'!$C$21*$L31)</f>
        <v>91.635969612357982</v>
      </c>
      <c r="O63" s="210">
        <f>$F$15+($D$25*$M31)+('Hypothetical SAR and RAR'!$C$21*$M31)</f>
        <v>122.74174186553873</v>
      </c>
      <c r="P63" s="210">
        <f>$F$15+($E$22*$L31)+('Hypothetical SAR and RAR'!$C$21*$L31)</f>
        <v>91.635969612357982</v>
      </c>
      <c r="Q63" s="210">
        <f>$F$15+($E$25*$M31)+('Hypothetical SAR and RAR'!$C$21*$M31)</f>
        <v>122.74174186553873</v>
      </c>
      <c r="R63" s="482"/>
      <c r="S63" s="482"/>
      <c r="T63" s="482"/>
      <c r="U63" s="482"/>
      <c r="W63" s="482"/>
      <c r="X63" s="482"/>
      <c r="Y63" s="482"/>
      <c r="Z63" s="482"/>
      <c r="AA63" s="10"/>
    </row>
    <row r="64" spans="2:27">
      <c r="B64" s="141" t="s">
        <v>201</v>
      </c>
      <c r="C64" s="210">
        <f>($C$22*$I32)+('Hypothetical SAR and RAR'!$C$21*$I32)</f>
        <v>173.79099095218905</v>
      </c>
      <c r="D64" s="210">
        <f>($C$25*$J32)+('Hypothetical SAR and RAR'!$C$21*$J32)</f>
        <v>164.84586641788516</v>
      </c>
      <c r="E64" s="210">
        <f>$F$15+($D$22*$I32)+('Hypothetical SAR and RAR'!$C$21*$I32)</f>
        <v>176.70838288310532</v>
      </c>
      <c r="F64" s="210">
        <f>$F$15+($D$25*$J32)+('Hypothetical SAR and RAR'!$C$21*$J32)</f>
        <v>168.83824773471017</v>
      </c>
      <c r="G64" s="210">
        <f>$F$15+($E$22*$I32)+('Hypothetical SAR and RAR'!$C$21*$I32)</f>
        <v>176.70838288310532</v>
      </c>
      <c r="H64" s="210">
        <f>$F$15+($E$25*$J32)+('Hypothetical SAR and RAR'!$C$21*$J32)</f>
        <v>168.83824773471017</v>
      </c>
      <c r="I64" s="256"/>
      <c r="J64" s="256"/>
      <c r="K64" s="141" t="s">
        <v>201</v>
      </c>
      <c r="L64" s="210">
        <f>($C$22*$L32)+('Hypothetical SAR and RAR'!$C$21*$L32)</f>
        <v>194.23698988774069</v>
      </c>
      <c r="M64" s="210">
        <f>($C$25*$M32)+('Hypothetical SAR and RAR'!$C$21*$M32)</f>
        <v>282.83631860846452</v>
      </c>
      <c r="N64" s="210">
        <f>$F$15+($D$22*$L32)+('Hypothetical SAR and RAR'!$C$21*$L32)</f>
        <v>194.69726322229417</v>
      </c>
      <c r="O64" s="210">
        <f>$F$15+($D$25*$M32)+('Hypothetical SAR and RAR'!$C$21*$M32)</f>
        <v>272.64907802544593</v>
      </c>
      <c r="P64" s="210">
        <f>$F$15+($E$22*$L32)+('Hypothetical SAR and RAR'!$C$21*$L32)</f>
        <v>194.69726322229417</v>
      </c>
      <c r="Q64" s="210">
        <f>$F$15+($E$25*$M32)+('Hypothetical SAR and RAR'!$C$21*$M32)</f>
        <v>272.64907802544593</v>
      </c>
      <c r="R64" s="482"/>
      <c r="S64" s="482"/>
      <c r="T64" s="482"/>
      <c r="U64" s="482"/>
      <c r="W64" s="482"/>
      <c r="X64" s="482"/>
      <c r="Y64" s="482"/>
      <c r="Z64" s="482"/>
    </row>
    <row r="65" spans="2:27" s="10" customFormat="1" ht="15" customHeight="1">
      <c r="B65" s="141" t="s">
        <v>202</v>
      </c>
      <c r="C65" s="210">
        <f>($C$22*$I33)+('Hypothetical SAR and RAR'!$C$21*$I33)</f>
        <v>203.18211442204452</v>
      </c>
      <c r="D65" s="210">
        <f>($C$25*$J33)+('Hypothetical SAR and RAR'!$C$21*$J33)</f>
        <v>139.28836774844561</v>
      </c>
      <c r="E65" s="210">
        <f>$F$15+($D$22*$I33)+('Hypothetical SAR and RAR'!$C$21*$I33)</f>
        <v>202.56739837068926</v>
      </c>
      <c r="F65" s="210">
        <f>$F$15+($D$25*$J33)+('Hypothetical SAR and RAR'!$C$21*$J33)</f>
        <v>146.35214731072409</v>
      </c>
      <c r="G65" s="210">
        <f>$F$15+($E$22*$I33)+('Hypothetical SAR and RAR'!$C$21*$I33)</f>
        <v>202.56739837068926</v>
      </c>
      <c r="H65" s="210">
        <f>$F$15+($E$25*$J33)+('Hypothetical SAR and RAR'!$C$21*$J33)</f>
        <v>146.35214731072409</v>
      </c>
      <c r="I65" s="256"/>
      <c r="J65" s="256"/>
      <c r="K65" s="141" t="s">
        <v>202</v>
      </c>
      <c r="L65" s="210">
        <f>($C$22*$L33)+('Hypothetical SAR and RAR'!$C$21*$L33)</f>
        <v>216.81278037907896</v>
      </c>
      <c r="M65" s="210">
        <f>($C$25*$M33)+('Hypothetical SAR and RAR'!$C$21*$M33)</f>
        <v>218.51661362370828</v>
      </c>
      <c r="N65" s="210">
        <f>$F$15+($D$22*$L33)+('Hypothetical SAR and RAR'!$C$21*$L33)</f>
        <v>214.55998526348185</v>
      </c>
      <c r="O65" s="210">
        <f>$F$15+($D$25*$M33)+('Hypothetical SAR and RAR'!$C$21*$M33)</f>
        <v>216.05905862508092</v>
      </c>
      <c r="P65" s="210">
        <f>$F$15+($E$22*$L33)+('Hypothetical SAR and RAR'!$C$21*$L33)</f>
        <v>214.55998526348185</v>
      </c>
      <c r="Q65" s="210">
        <f>$F$15+($E$25*$M33)+('Hypothetical SAR and RAR'!$C$21*$M33)</f>
        <v>216.05905862508092</v>
      </c>
      <c r="R65" s="482"/>
      <c r="S65" s="482"/>
      <c r="T65" s="482"/>
      <c r="U65" s="482"/>
      <c r="W65" s="482"/>
      <c r="X65" s="482"/>
      <c r="Y65" s="482"/>
      <c r="Z65" s="482"/>
      <c r="AA65" s="6"/>
    </row>
    <row r="66" spans="2:27">
      <c r="B66" s="144" t="s">
        <v>203</v>
      </c>
      <c r="C66" s="210">
        <f>($C$22*$I34)+('Hypothetical SAR and RAR'!$C$21*$I34)</f>
        <v>132.89899308108571</v>
      </c>
      <c r="D66" s="210">
        <f>($C$25*$J34)+('Hypothetical SAR and RAR'!$C$21*$J34)</f>
        <v>122.67599361330991</v>
      </c>
      <c r="E66" s="210">
        <f>$F$15+($D$22*$I34)+('Hypothetical SAR and RAR'!$C$21*$I34)</f>
        <v>140.73062220472758</v>
      </c>
      <c r="F66" s="210">
        <f>$F$15+($D$25*$J34)+('Hypothetical SAR and RAR'!$C$21*$J34)</f>
        <v>131.73618203513317</v>
      </c>
      <c r="G66" s="210">
        <f>$F$15+($E$22*$I34)+('Hypothetical SAR and RAR'!$C$21*$I34)</f>
        <v>140.73062220472758</v>
      </c>
      <c r="H66" s="210">
        <f>$F$15+($E$25*$J34)+('Hypothetical SAR and RAR'!$C$21*$J34)</f>
        <v>131.73618203513317</v>
      </c>
      <c r="I66" s="256"/>
      <c r="J66" s="256"/>
      <c r="K66" s="144" t="s">
        <v>203</v>
      </c>
      <c r="L66" s="210">
        <f>($C$22*$L34)+('Hypothetical SAR and RAR'!$C$21*$L34)</f>
        <v>111.60107752321942</v>
      </c>
      <c r="M66" s="210">
        <f>($C$25*$M34)+('Hypothetical SAR and RAR'!$C$21*$M34)</f>
        <v>155.474783572424</v>
      </c>
      <c r="N66" s="210">
        <f>$F$15+($D$22*$L34)+('Hypothetical SAR and RAR'!$C$21*$L34)</f>
        <v>121.99220518473918</v>
      </c>
      <c r="O66" s="210">
        <f>$F$15+($D$25*$M34)+('Hypothetical SAR and RAR'!$C$21*$M34)</f>
        <v>160.59334424591529</v>
      </c>
      <c r="P66" s="210">
        <f>$F$15+($E$22*$L34)+('Hypothetical SAR and RAR'!$C$21*$L34)</f>
        <v>121.99220518473918</v>
      </c>
      <c r="Q66" s="210">
        <f>$F$15+($E$25*$M34)+('Hypothetical SAR and RAR'!$C$21*$M34)</f>
        <v>160.59334424591529</v>
      </c>
      <c r="R66" s="482"/>
      <c r="S66" s="482"/>
      <c r="T66" s="482"/>
      <c r="U66" s="482"/>
      <c r="W66" s="482"/>
      <c r="X66" s="482"/>
      <c r="Y66" s="482"/>
      <c r="Z66" s="482"/>
    </row>
    <row r="67" spans="2:27">
      <c r="B67" s="6" t="s">
        <v>113</v>
      </c>
      <c r="C67" s="211">
        <f t="shared" ref="C67:H67" si="8">SUMPRODUCT(C63:C66,$U$22:$U$25)</f>
        <v>122.68732796483253</v>
      </c>
      <c r="D67" s="211">
        <f t="shared" si="8"/>
        <v>120.01208268928468</v>
      </c>
      <c r="E67" s="211">
        <f t="shared" si="8"/>
        <v>131.74615426950064</v>
      </c>
      <c r="F67" s="211">
        <f t="shared" si="8"/>
        <v>129.39240930005673</v>
      </c>
      <c r="G67" s="211">
        <f t="shared" si="8"/>
        <v>131.74615426950064</v>
      </c>
      <c r="H67" s="211">
        <f t="shared" si="8"/>
        <v>129.39240930005673</v>
      </c>
      <c r="I67" s="257"/>
      <c r="J67" s="257"/>
      <c r="K67" s="6" t="s">
        <v>113</v>
      </c>
      <c r="L67" s="211">
        <f t="shared" ref="L67:Q67" si="9">SUMPRODUCT(L63:L66,$U$31:$U$34)</f>
        <v>93.720618187131066</v>
      </c>
      <c r="M67" s="211">
        <f t="shared" si="9"/>
        <v>133.29776627133731</v>
      </c>
      <c r="N67" s="211">
        <f t="shared" si="9"/>
        <v>106.26054812946373</v>
      </c>
      <c r="O67" s="211">
        <f t="shared" si="9"/>
        <v>141.08147242361511</v>
      </c>
      <c r="P67" s="211">
        <f t="shared" si="9"/>
        <v>106.26054812946373</v>
      </c>
      <c r="Q67" s="211">
        <f t="shared" si="9"/>
        <v>141.08147242361511</v>
      </c>
      <c r="R67" s="482"/>
      <c r="S67" s="482"/>
      <c r="T67" s="482"/>
      <c r="U67" s="482"/>
      <c r="W67" s="482"/>
      <c r="X67" s="482"/>
      <c r="Y67" s="482"/>
      <c r="Z67" s="482"/>
    </row>
    <row r="68" spans="2:27">
      <c r="B68" s="7"/>
      <c r="C68" s="388"/>
      <c r="D68" s="388"/>
      <c r="E68" s="388"/>
      <c r="F68" s="388"/>
      <c r="G68" s="147"/>
      <c r="H68" s="147"/>
      <c r="I68" s="147"/>
      <c r="J68" s="147"/>
      <c r="K68" s="7"/>
      <c r="L68" s="208"/>
      <c r="M68" s="208"/>
      <c r="N68" s="209"/>
      <c r="O68" s="146"/>
      <c r="P68" s="147"/>
      <c r="Q68" s="147"/>
    </row>
    <row r="69" spans="2:27">
      <c r="B69" s="7"/>
      <c r="C69" s="208"/>
      <c r="D69" s="208"/>
      <c r="E69" s="209"/>
      <c r="F69" s="208"/>
      <c r="G69" s="147"/>
      <c r="H69" s="147"/>
      <c r="I69" s="147"/>
      <c r="J69" s="147"/>
      <c r="K69" s="7"/>
      <c r="L69" s="208"/>
      <c r="M69" s="208"/>
      <c r="N69" s="209"/>
      <c r="O69" s="208"/>
      <c r="P69" s="147"/>
      <c r="Q69" s="147"/>
    </row>
    <row r="70" spans="2:27">
      <c r="B70" s="7"/>
      <c r="C70" s="587" t="s">
        <v>274</v>
      </c>
      <c r="D70" s="587"/>
      <c r="E70" s="587"/>
      <c r="F70" s="587"/>
      <c r="G70" s="587"/>
      <c r="H70" s="587"/>
      <c r="K70" s="7"/>
      <c r="L70" s="587" t="s">
        <v>279</v>
      </c>
      <c r="M70" s="587"/>
      <c r="N70" s="587"/>
      <c r="O70" s="587"/>
      <c r="P70" s="587"/>
      <c r="Q70" s="587"/>
    </row>
    <row r="71" spans="2:27">
      <c r="B71" s="7"/>
      <c r="C71" s="594" t="str">
        <f>C51</f>
        <v>6/1/2025</v>
      </c>
      <c r="D71" s="594"/>
      <c r="E71" s="593" t="str">
        <f>E61</f>
        <v>10/1/25</v>
      </c>
      <c r="F71" s="594"/>
      <c r="G71" s="594" t="str">
        <f>G61</f>
        <v>Proposed</v>
      </c>
      <c r="H71" s="594"/>
      <c r="I71" s="593"/>
      <c r="J71" s="594"/>
      <c r="K71" s="7"/>
      <c r="L71" s="263" t="str">
        <f>L51</f>
        <v>6/1/2025</v>
      </c>
      <c r="M71" s="263"/>
      <c r="N71" s="264" t="str">
        <f>N61</f>
        <v>10/1/25</v>
      </c>
      <c r="O71" s="263"/>
      <c r="P71" s="263" t="str">
        <f>P61</f>
        <v>Proposed</v>
      </c>
      <c r="Q71" s="263"/>
    </row>
    <row r="72" spans="2:27">
      <c r="B72" s="7"/>
      <c r="C72" s="208" t="s">
        <v>196</v>
      </c>
      <c r="D72" s="208" t="s">
        <v>197</v>
      </c>
      <c r="E72" s="208" t="s">
        <v>196</v>
      </c>
      <c r="F72" s="208" t="s">
        <v>197</v>
      </c>
      <c r="G72" s="208" t="s">
        <v>196</v>
      </c>
      <c r="H72" s="208" t="s">
        <v>197</v>
      </c>
      <c r="I72" s="208"/>
      <c r="J72" s="208"/>
      <c r="K72" s="7"/>
      <c r="L72" s="208" t="s">
        <v>196</v>
      </c>
      <c r="M72" s="208" t="s">
        <v>197</v>
      </c>
      <c r="N72" s="208" t="s">
        <v>196</v>
      </c>
      <c r="O72" s="208" t="s">
        <v>197</v>
      </c>
      <c r="P72" s="208" t="s">
        <v>196</v>
      </c>
      <c r="Q72" s="208" t="s">
        <v>197</v>
      </c>
    </row>
    <row r="73" spans="2:27">
      <c r="B73" s="138" t="s">
        <v>129</v>
      </c>
      <c r="C73" s="210">
        <f>($C$31*$I31)+('Hypothetical SAR and RAR'!$C$21*$I31)</f>
        <v>71.628299999999996</v>
      </c>
      <c r="D73" s="210">
        <f>($C$34*$J31)+('Hypothetical SAR and RAR'!$C$21*$J31)</f>
        <v>73.220039999999997</v>
      </c>
      <c r="E73" s="210">
        <f>$Q$15+($D$31*$I31)+('Hypothetical SAR and RAR'!$C$21*$I31)</f>
        <v>70.716300000000004</v>
      </c>
      <c r="F73" s="210">
        <f>$Q$15+($D$34*$J31)+('Hypothetical SAR and RAR'!$C$21*$J31)</f>
        <v>72.156360000000006</v>
      </c>
      <c r="G73" s="210">
        <f>$Q$15+($E$31*$I31)+('Hypothetical SAR and RAR'!$C$21*$I31)</f>
        <v>70.71629999999999</v>
      </c>
      <c r="H73" s="210">
        <f>$Q$15+($E$34*$J31)+('Hypothetical SAR and RAR'!$C$21*$J31)</f>
        <v>72.156359999999992</v>
      </c>
      <c r="I73" s="256"/>
      <c r="J73" s="256"/>
      <c r="K73" s="138" t="s">
        <v>129</v>
      </c>
      <c r="L73" s="210">
        <f>($C$31*$L31)+('Hypothetical SAR and RAR'!$C$21*$L31)</f>
        <v>48.017489999999995</v>
      </c>
      <c r="M73" s="210">
        <f>($C$34*$M31)+('Hypothetical SAR and RAR'!$C$21*$M31)</f>
        <v>70.036560000000009</v>
      </c>
      <c r="N73" s="210">
        <f>$Q$15+($D$31*$L31)+('Hypothetical SAR and RAR'!$C$21*$L31)</f>
        <v>49.355409999999999</v>
      </c>
      <c r="O73" s="210">
        <f>$Q$15+($D$34*$M31)+('Hypothetical SAR and RAR'!$C$21*$M31)</f>
        <v>69.276240000000001</v>
      </c>
      <c r="P73" s="210">
        <f>$Q$15+($E$31*$L31)+('Hypothetical SAR and RAR'!$C$21*$L31)</f>
        <v>49.355409999999992</v>
      </c>
      <c r="Q73" s="210">
        <f>$Q$15+($E$34*$M31)+('Hypothetical SAR and RAR'!$C$21*$M31)</f>
        <v>69.276240000000001</v>
      </c>
      <c r="R73" s="482"/>
      <c r="S73" s="482"/>
      <c r="T73" s="482"/>
      <c r="U73" s="482"/>
      <c r="W73" s="482"/>
      <c r="X73" s="482"/>
      <c r="Y73" s="482"/>
      <c r="Z73" s="482"/>
    </row>
    <row r="74" spans="2:27">
      <c r="B74" s="141" t="s">
        <v>201</v>
      </c>
      <c r="C74" s="210">
        <f>($C$31*$I32)+('Hypothetical SAR and RAR'!$C$21*$I32)</f>
        <v>108.23832</v>
      </c>
      <c r="D74" s="210">
        <f>($C$34*$J32)+('Hypothetical SAR and RAR'!$C$21*$J32)</f>
        <v>102.66723</v>
      </c>
      <c r="E74" s="210">
        <f>$Q$15+($D$31*$I32)+('Hypothetical SAR and RAR'!$C$21*$I32)</f>
        <v>103.83768000000001</v>
      </c>
      <c r="F74" s="210">
        <f>$Q$15+($D$34*$J32)+('Hypothetical SAR and RAR'!$C$21*$J32)</f>
        <v>98.797470000000004</v>
      </c>
      <c r="G74" s="210">
        <f>$Q$15+($E$31*$I32)+('Hypothetical SAR and RAR'!$C$21*$I32)</f>
        <v>103.83768000000001</v>
      </c>
      <c r="H74" s="210">
        <f>$Q$15+($E$34*$J32)+('Hypothetical SAR and RAR'!$C$21*$J32)</f>
        <v>98.797470000000004</v>
      </c>
      <c r="I74" s="256"/>
      <c r="J74" s="256"/>
      <c r="K74" s="141" t="s">
        <v>201</v>
      </c>
      <c r="L74" s="210">
        <f>($C$31*$L32)+('Hypothetical SAR and RAR'!$C$21*$L32)</f>
        <v>120.97224</v>
      </c>
      <c r="M74" s="210">
        <f>($C$34*$M32)+('Hypothetical SAR and RAR'!$C$21*$M32)</f>
        <v>176.15256000000002</v>
      </c>
      <c r="N74" s="210">
        <f>$Q$15+($D$31*$L32)+('Hypothetical SAR and RAR'!$C$21*$L32)</f>
        <v>115.35816000000001</v>
      </c>
      <c r="O74" s="210">
        <f>$Q$15+($D$34*$M32)+('Hypothetical SAR and RAR'!$C$21*$M32)</f>
        <v>165.28024000000002</v>
      </c>
      <c r="P74" s="210">
        <f>$Q$15+($E$31*$L32)+('Hypothetical SAR and RAR'!$C$21*$L32)</f>
        <v>115.35816</v>
      </c>
      <c r="Q74" s="210">
        <f>$Q$15+($E$34*$M32)+('Hypothetical SAR and RAR'!$C$21*$M32)</f>
        <v>165.28023999999999</v>
      </c>
      <c r="R74" s="482"/>
      <c r="S74" s="482"/>
      <c r="T74" s="482"/>
      <c r="U74" s="482"/>
      <c r="W74" s="482"/>
      <c r="X74" s="482"/>
      <c r="Y74" s="482"/>
      <c r="Z74" s="482"/>
    </row>
    <row r="75" spans="2:27">
      <c r="B75" s="141" t="s">
        <v>202</v>
      </c>
      <c r="C75" s="210">
        <f>($C$31*$I33)+('Hypothetical SAR and RAR'!$C$21*$I33)</f>
        <v>126.54333000000001</v>
      </c>
      <c r="D75" s="210">
        <f>($C$34*$J33)+('Hypothetical SAR and RAR'!$C$21*$J33)</f>
        <v>86.749830000000003</v>
      </c>
      <c r="E75" s="210">
        <f>$Q$15+($D$31*$I33)+('Hypothetical SAR and RAR'!$C$21*$I33)</f>
        <v>120.39837000000001</v>
      </c>
      <c r="F75" s="210">
        <f>$Q$15+($D$34*$J33)+('Hypothetical SAR and RAR'!$C$21*$J33)</f>
        <v>84.396870000000007</v>
      </c>
      <c r="G75" s="210">
        <f>$Q$15+($E$31*$I33)+('Hypothetical SAR and RAR'!$C$21*$I33)</f>
        <v>120.39837</v>
      </c>
      <c r="H75" s="210">
        <f>$Q$15+($E$34*$J33)+('Hypothetical SAR and RAR'!$C$21*$J33)</f>
        <v>84.396869999999993</v>
      </c>
      <c r="I75" s="256"/>
      <c r="J75" s="256"/>
      <c r="K75" s="141" t="s">
        <v>202</v>
      </c>
      <c r="L75" s="210">
        <f>($C$31*$L33)+('Hypothetical SAR and RAR'!$C$21*$L33)</f>
        <v>135.03260999999998</v>
      </c>
      <c r="M75" s="210">
        <f>($C$34*$M33)+('Hypothetical SAR and RAR'!$C$21*$M33)</f>
        <v>136.09377000000001</v>
      </c>
      <c r="N75" s="210">
        <f>$Q$15+($D$31*$L33)+('Hypothetical SAR and RAR'!$C$21*$L33)</f>
        <v>128.07868999999999</v>
      </c>
      <c r="O75" s="210">
        <f>$Q$15+($D$34*$M33)+('Hypothetical SAR and RAR'!$C$21*$M33)</f>
        <v>129.03873000000002</v>
      </c>
      <c r="P75" s="210">
        <f>$Q$15+($E$31*$L33)+('Hypothetical SAR and RAR'!$C$21*$L33)</f>
        <v>128.07868999999999</v>
      </c>
      <c r="Q75" s="210">
        <f>$Q$15+($E$34*$M33)+('Hypothetical SAR and RAR'!$C$21*$M33)</f>
        <v>129.03872999999999</v>
      </c>
      <c r="R75" s="482"/>
      <c r="S75" s="482"/>
      <c r="T75" s="482"/>
      <c r="U75" s="482"/>
      <c r="W75" s="482"/>
      <c r="X75" s="482"/>
      <c r="Y75" s="482"/>
      <c r="Z75" s="482"/>
    </row>
    <row r="76" spans="2:27">
      <c r="B76" s="144" t="s">
        <v>203</v>
      </c>
      <c r="C76" s="210">
        <f>($C$31*$I34)+('Hypothetical SAR and RAR'!$C$21*$I34)</f>
        <v>82.770480000000006</v>
      </c>
      <c r="D76" s="210">
        <f>($C$34*$J34)+('Hypothetical SAR and RAR'!$C$21*$J34)</f>
        <v>76.40352</v>
      </c>
      <c r="E76" s="210">
        <f>$Q$15+($D$31*$I34)+('Hypothetical SAR and RAR'!$C$21*$I34)</f>
        <v>80.796720000000008</v>
      </c>
      <c r="F76" s="210">
        <f>$Q$15+($D$34*$J34)+('Hypothetical SAR and RAR'!$C$21*$J34)</f>
        <v>75.036480000000012</v>
      </c>
      <c r="G76" s="210">
        <f>$Q$15+($E$31*$I34)+('Hypothetical SAR and RAR'!$C$21*$I34)</f>
        <v>80.796719999999993</v>
      </c>
      <c r="H76" s="210">
        <f>$Q$15+($E$34*$J34)+('Hypothetical SAR and RAR'!$C$21*$J34)</f>
        <v>75.036479999999997</v>
      </c>
      <c r="I76" s="256"/>
      <c r="J76" s="256"/>
      <c r="K76" s="144" t="s">
        <v>203</v>
      </c>
      <c r="L76" s="210">
        <f>($C$31*$L34)+('Hypothetical SAR and RAR'!$C$21*$L34)</f>
        <v>69.505979999999994</v>
      </c>
      <c r="M76" s="210">
        <f>($C$34*$M34)+('Hypothetical SAR and RAR'!$C$21*$M34)</f>
        <v>96.830849999999998</v>
      </c>
      <c r="N76" s="210">
        <f>$Q$15+($D$31*$L34)+('Hypothetical SAR and RAR'!$C$21*$L34)</f>
        <v>68.796219999999991</v>
      </c>
      <c r="O76" s="210">
        <f>$Q$15+($D$34*$M34)+('Hypothetical SAR and RAR'!$C$21*$M34)</f>
        <v>93.517250000000004</v>
      </c>
      <c r="P76" s="210">
        <f>$Q$15+($E$31*$L34)+('Hypothetical SAR and RAR'!$C$21*$L34)</f>
        <v>68.796219999999991</v>
      </c>
      <c r="Q76" s="210">
        <f>$Q$15+($E$34*$M34)+('Hypothetical SAR and RAR'!$C$21*$M34)</f>
        <v>93.51724999999999</v>
      </c>
      <c r="R76" s="482"/>
      <c r="S76" s="482"/>
      <c r="T76" s="482"/>
      <c r="U76" s="482"/>
      <c r="W76" s="482"/>
      <c r="X76" s="482"/>
      <c r="Y76" s="482"/>
      <c r="Z76" s="482"/>
    </row>
    <row r="77" spans="2:27">
      <c r="B77" s="6" t="s">
        <v>113</v>
      </c>
      <c r="C77" s="211">
        <f t="shared" ref="C77:H77" si="10">SUMPRODUCT(C73:C76,$V$22:$V$25)</f>
        <v>77.440193093473411</v>
      </c>
      <c r="D77" s="211">
        <f t="shared" si="10"/>
        <v>75.031963788222242</v>
      </c>
      <c r="E77" s="211">
        <f t="shared" si="10"/>
        <v>75.974366498415151</v>
      </c>
      <c r="F77" s="211">
        <f t="shared" si="10"/>
        <v>73.795622046858995</v>
      </c>
      <c r="G77" s="211">
        <f t="shared" si="10"/>
        <v>75.974366498415122</v>
      </c>
      <c r="H77" s="211">
        <f t="shared" si="10"/>
        <v>73.795622046858981</v>
      </c>
      <c r="I77" s="257"/>
      <c r="J77" s="257"/>
      <c r="K77" s="6" t="s">
        <v>113</v>
      </c>
      <c r="L77" s="211">
        <f t="shared" ref="L77:Q77" si="11">SUMPRODUCT(L73:L76,$V$31:$V$34)</f>
        <v>60.914296042585548</v>
      </c>
      <c r="M77" s="211">
        <f t="shared" si="11"/>
        <v>86.176039864530154</v>
      </c>
      <c r="N77" s="211">
        <f t="shared" si="11"/>
        <v>61.023254314828897</v>
      </c>
      <c r="O77" s="211">
        <f t="shared" si="11"/>
        <v>83.877757442368278</v>
      </c>
      <c r="P77" s="211">
        <f t="shared" si="11"/>
        <v>61.023254314828897</v>
      </c>
      <c r="Q77" s="211">
        <f t="shared" si="11"/>
        <v>83.877757442368278</v>
      </c>
      <c r="R77" s="482"/>
      <c r="S77" s="482"/>
      <c r="T77" s="482"/>
      <c r="U77" s="482"/>
      <c r="W77" s="482"/>
      <c r="X77" s="482"/>
      <c r="Y77" s="482"/>
      <c r="Z77" s="482"/>
    </row>
    <row r="78" spans="2:27">
      <c r="B78" s="7"/>
      <c r="C78" s="388"/>
      <c r="D78" s="388"/>
      <c r="E78" s="388"/>
      <c r="F78" s="388"/>
      <c r="G78" s="147"/>
      <c r="H78" s="147"/>
      <c r="I78" s="147"/>
      <c r="K78" s="7"/>
      <c r="L78" s="208"/>
      <c r="M78" s="208"/>
      <c r="N78" s="209"/>
      <c r="P78" s="147"/>
      <c r="Q78" s="147"/>
    </row>
    <row r="79" spans="2:27" ht="15" thickBot="1"/>
    <row r="80" spans="2:27" ht="15" thickBot="1">
      <c r="B80" s="654">
        <f>IF('Hypothetical Summary'!$H$9="",400,'Hypothetical Summary'!$H$9)</f>
        <v>400</v>
      </c>
      <c r="C80" s="730" t="s">
        <v>280</v>
      </c>
      <c r="D80" s="655"/>
      <c r="E80" s="655"/>
      <c r="F80" s="655"/>
      <c r="G80" s="655"/>
      <c r="H80" s="655"/>
      <c r="I80" s="643"/>
      <c r="J80" s="643"/>
      <c r="K80" s="654">
        <f>IF('Hypothetical Summary'!$H$9="",400,'Hypothetical Summary'!$H$9)</f>
        <v>400</v>
      </c>
      <c r="L80" s="595" t="s">
        <v>282</v>
      </c>
      <c r="M80" s="587"/>
      <c r="N80" s="587"/>
      <c r="O80" s="587"/>
      <c r="P80" s="587"/>
      <c r="Q80" s="587"/>
    </row>
    <row r="81" spans="2:26">
      <c r="B81" s="7"/>
      <c r="C81" s="594" t="str">
        <f>C71</f>
        <v>6/1/2025</v>
      </c>
      <c r="D81" s="594"/>
      <c r="E81" s="593" t="str">
        <f>E71</f>
        <v>10/1/25</v>
      </c>
      <c r="F81" s="594"/>
      <c r="G81" s="594" t="str">
        <f>G71</f>
        <v>Proposed</v>
      </c>
      <c r="H81" s="594"/>
      <c r="I81" s="596"/>
      <c r="J81" s="597"/>
      <c r="K81" s="7"/>
      <c r="L81" s="263" t="str">
        <f>L71</f>
        <v>6/1/2025</v>
      </c>
      <c r="M81" s="263"/>
      <c r="N81" s="264" t="str">
        <f>N71</f>
        <v>10/1/25</v>
      </c>
      <c r="O81" s="263"/>
      <c r="P81" s="263" t="str">
        <f>P71</f>
        <v>Proposed</v>
      </c>
      <c r="Q81" s="263"/>
    </row>
    <row r="82" spans="2:26">
      <c r="B82" s="7"/>
      <c r="C82" s="208" t="s">
        <v>196</v>
      </c>
      <c r="D82" s="208" t="s">
        <v>197</v>
      </c>
      <c r="E82" s="208" t="s">
        <v>196</v>
      </c>
      <c r="F82" s="208" t="s">
        <v>197</v>
      </c>
      <c r="G82" s="208" t="s">
        <v>196</v>
      </c>
      <c r="H82" s="208" t="s">
        <v>197</v>
      </c>
      <c r="I82" s="256"/>
      <c r="J82" s="256"/>
      <c r="K82" s="7"/>
      <c r="L82" s="208" t="s">
        <v>196</v>
      </c>
      <c r="M82" s="208" t="s">
        <v>197</v>
      </c>
      <c r="N82" s="208" t="s">
        <v>196</v>
      </c>
      <c r="O82" s="208" t="s">
        <v>197</v>
      </c>
      <c r="P82" s="208" t="s">
        <v>196</v>
      </c>
      <c r="Q82" s="208" t="s">
        <v>197</v>
      </c>
    </row>
    <row r="83" spans="2:26">
      <c r="B83" s="138" t="s">
        <v>129</v>
      </c>
      <c r="C83" s="210">
        <f>$C$22*MIN(I22,$B$80)+IF($B$80-I22&gt;0,$C$23*($B$80-I22))+('Hypothetical SAR and RAR'!$C$21*$B$80)</f>
        <v>175.78159827915951</v>
      </c>
      <c r="D83" s="210">
        <f>$C$25*MIN(J22,$B$80)+IF($B$80-J22&gt;0,$C$26*($B$80-J22))+('Hypothetical SAR and RAR'!$C$21*$B$80)</f>
        <v>174.9002474520201</v>
      </c>
      <c r="E83" s="210">
        <f>$F$15+$D$22*MIN(I22,$B$80)+IF($B$80-I22&gt;0,$D$23*($B$80-I22))+('Hypothetical SAR and RAR'!$C$21*$B$80)</f>
        <v>178.4585462531131</v>
      </c>
      <c r="F83" s="210">
        <f>$F$15+$D$25*MIN(J22,$B$80)+IF($B$80-J22&gt;0,$D$26*($B$80-J22))+('Hypothetical SAR and RAR'!$C$21*$B$80)</f>
        <v>177.6833119521815</v>
      </c>
      <c r="G83" s="210">
        <f>$F$15+$E$22*MIN(I22,$B$80)+IF($B$80-I22&gt;0,$E$23*($B$80-I22))+('Hypothetical SAR and RAR'!$C$21*$B$80)</f>
        <v>178.4585462531131</v>
      </c>
      <c r="H83" s="210">
        <f>$F$15+$E$25*MIN(J22,$B$80)+IF($B$80-J22&gt;0,$E$26*($B$80-J22))+('Hypothetical SAR and RAR'!$C$21*$B$80)</f>
        <v>177.6833119521815</v>
      </c>
      <c r="I83" s="256"/>
      <c r="J83" s="256"/>
      <c r="K83" s="138" t="s">
        <v>129</v>
      </c>
      <c r="L83" s="210">
        <f>$C$22*MIN($L22,$K$80)+IF($K$80-$L22&gt;0,$C$23*($K$80-$L22))+('Hypothetical SAR and RAR'!$C$21*$K$80)</f>
        <v>188.56118527268148</v>
      </c>
      <c r="M83" s="210">
        <f>$C$25*MIN($M22,$K$80)+IF($K$80-$M22&gt;0,$C$26*($K$80-$M22))+('Hypothetical SAR and RAR'!$C$21*$K$80)</f>
        <v>176.66294910629895</v>
      </c>
      <c r="N83" s="210">
        <f>$F$15+$D$22*MIN($L22,$B$80)+IF($B$80-$L22&gt;0,$D$23*($B$80-$L22))+('Hypothetical SAR and RAR'!$C$21*$B$80)</f>
        <v>189.69944361662101</v>
      </c>
      <c r="O83" s="210">
        <f>$F$15+$D$25*MIN($M22,$B$80)+IF($B$80-$M22&gt;0,$D$26*($B$80-$M22))+('Hypothetical SAR and RAR'!$C$21*$B$80)</f>
        <v>179.23378055404464</v>
      </c>
      <c r="P83" s="210">
        <f>$F$15+$E$22*MIN($L22,$K$80)+IF($K$80-$L22&gt;0,$E$23*($K$80-$L22))+('Hypothetical SAR and RAR'!$C$21*$K$80)</f>
        <v>189.69944361662101</v>
      </c>
      <c r="Q83" s="210">
        <f>$F$15+$E$25*MIN($M22,$K$80)+IF($K$80-$M22&gt;0,$E$26*($K$80-$M22))+('Hypothetical SAR and RAR'!$C$21*$K$80)</f>
        <v>179.23378055404464</v>
      </c>
      <c r="R83" s="482"/>
      <c r="S83" s="482"/>
      <c r="T83" s="482"/>
      <c r="U83" s="482"/>
      <c r="W83" s="482"/>
      <c r="X83" s="482"/>
      <c r="Y83" s="482"/>
      <c r="Z83" s="482"/>
    </row>
    <row r="84" spans="2:26">
      <c r="B84" s="141" t="s">
        <v>201</v>
      </c>
      <c r="C84" s="210">
        <f>$C$22*MIN(I23,$B$80)+IF($B$80-I23&gt;0,$C$23*($B$80-I23))+('Hypothetical SAR and RAR'!$C$21*$B$80)</f>
        <v>170.3833244629304</v>
      </c>
      <c r="D84" s="210">
        <f>$C$25*MIN(J23,$B$80)+IF($B$80-J23&gt;0,$C$26*($B$80-J23))+('Hypothetical SAR and RAR'!$C$21*$B$80)</f>
        <v>170.3833244629304</v>
      </c>
      <c r="E84" s="210">
        <f>$F$15+$D$22*MIN(I23,$B$80)+IF($B$80-I23&gt;0,$D$23*($B$80-I23))+('Hypothetical SAR and RAR'!$C$21*$B$80)</f>
        <v>173.71023615990714</v>
      </c>
      <c r="F84" s="210">
        <f>$F$15+$D$25*MIN(J23,$B$80)+IF($B$80-J23&gt;0,$D$26*($B$80-J23))+('Hypothetical SAR and RAR'!$C$21*$B$80)</f>
        <v>173.71023615990714</v>
      </c>
      <c r="G84" s="210">
        <f>$F$15+$E$22*MIN(I23,$B$80)+IF($B$80-I23&gt;0,$E$23*($B$80-I23))+('Hypothetical SAR and RAR'!$C$21*$B$80)</f>
        <v>173.71023615990714</v>
      </c>
      <c r="H84" s="210">
        <f>$F$15+$E$25*MIN(J23,$B$80)+IF($B$80-J23&gt;0,$E$26*($B$80-J23))+('Hypothetical SAR and RAR'!$C$21*$B$80)</f>
        <v>173.71023615990714</v>
      </c>
      <c r="I84" s="256"/>
      <c r="J84" s="256"/>
      <c r="K84" s="141" t="s">
        <v>201</v>
      </c>
      <c r="L84" s="210">
        <f>$C$22*MIN($L23,$K$80)+IF($K$80-$L23&gt;0,$C$23*($K$80-$L23))+('Hypothetical SAR and RAR'!$C$21*$K$80)</f>
        <v>170.3833244629304</v>
      </c>
      <c r="M84" s="210">
        <f>$C$25*MIN($M23,$K$80)+IF($K$80-$M23&gt;0,$C$26*($K$80-$M23))+('Hypothetical SAR and RAR'!$C$21*$K$80)</f>
        <v>170.3833244629304</v>
      </c>
      <c r="N84" s="210">
        <f>$F$15+$D$22*MIN($L23,$B$80)+IF($B$80-$L23&gt;0,$D$23*($B$80-$L23))+('Hypothetical SAR and RAR'!$C$21*$B$80)</f>
        <v>173.71023615990714</v>
      </c>
      <c r="O84" s="210">
        <f>$F$15+$D$25*MIN($M23,$B$80)+IF($B$80-$M23&gt;0,$D$26*($B$80-$M23))+('Hypothetical SAR and RAR'!$C$21*$B$80)</f>
        <v>173.71023615990714</v>
      </c>
      <c r="P84" s="210">
        <f>$F$15+$E$22*MIN($L23,$K$80)+IF($K$80-$L23&gt;0,$E$23*($K$80-$L23))+('Hypothetical SAR and RAR'!$C$21*$K$80)</f>
        <v>173.71023615990714</v>
      </c>
      <c r="Q84" s="210">
        <f>$F$15+$E$25*MIN($M23,$K$80)+IF($K$80-$M23&gt;0,$E$26*($K$80-$M23))+('Hypothetical SAR and RAR'!$C$21*$K$80)</f>
        <v>173.71023615990714</v>
      </c>
      <c r="R84" s="482"/>
      <c r="S84" s="482"/>
      <c r="T84" s="482"/>
      <c r="U84" s="482"/>
      <c r="W84" s="482"/>
      <c r="X84" s="482"/>
      <c r="Y84" s="482"/>
      <c r="Z84" s="482"/>
    </row>
    <row r="85" spans="2:26">
      <c r="B85" s="141" t="s">
        <v>202</v>
      </c>
      <c r="C85" s="210">
        <f>$C$22*MIN(I24,$B$80)+IF($B$80-I24&gt;0,$C$23*($B$80-I24))+('Hypothetical SAR and RAR'!$C$21*$B$80)</f>
        <v>170.3833244629304</v>
      </c>
      <c r="D85" s="210">
        <f>$C$25*MIN(J24,$B$80)+IF($B$80-J24&gt;0,$C$26*($B$80-J24))+('Hypothetical SAR and RAR'!$C$21*$B$80)</f>
        <v>170.3833244629304</v>
      </c>
      <c r="E85" s="210">
        <f>$F$15+$D$22*MIN(I24,$B$80)+IF($B$80-I24&gt;0,$D$23*($B$80-I24))+('Hypothetical SAR and RAR'!$C$21*$B$80)</f>
        <v>173.71023615990714</v>
      </c>
      <c r="F85" s="210">
        <f>$F$15+$D$25*MIN(J24,$B$80)+IF($B$80-J24&gt;0,$D$26*($B$80-J24))+('Hypothetical SAR and RAR'!$C$21*$B$80)</f>
        <v>173.71023615990714</v>
      </c>
      <c r="G85" s="210">
        <f>$F$15+$E$22*MIN(I24,$B$80)+IF($B$80-I24&gt;0,$E$23*($B$80-I24))+('Hypothetical SAR and RAR'!$C$21*$B$80)</f>
        <v>173.71023615990714</v>
      </c>
      <c r="H85" s="210">
        <f>$F$15+$E$25*MIN(J24,$B$80)+IF($B$80-J24&gt;0,$E$26*($B$80-J24))+('Hypothetical SAR and RAR'!$C$21*$B$80)</f>
        <v>173.71023615990714</v>
      </c>
      <c r="I85" s="256"/>
      <c r="J85" s="256"/>
      <c r="K85" s="141" t="s">
        <v>202</v>
      </c>
      <c r="L85" s="210">
        <f>$C$22*MIN($L24,$K$80)+IF($K$80-$L24&gt;0,$C$23*($K$80-$L24))+('Hypothetical SAR and RAR'!$C$21*$K$80)</f>
        <v>170.3833244629304</v>
      </c>
      <c r="M85" s="210">
        <f>$C$25*MIN($M24,$K$80)+IF($K$80-$M24&gt;0,$C$26*($K$80-$M24))+('Hypothetical SAR and RAR'!$C$21*$K$80)</f>
        <v>170.3833244629304</v>
      </c>
      <c r="N85" s="210">
        <f>$F$15+$D$22*MIN($L24,$B$80)+IF($B$80-$L24&gt;0,$D$23*($B$80-$L24))+('Hypothetical SAR and RAR'!$C$21*$B$80)</f>
        <v>173.71023615990714</v>
      </c>
      <c r="O85" s="210">
        <f>$F$15+$D$25*MIN($M24,$B$80)+IF($B$80-$M24&gt;0,$D$26*($B$80-$M24))+('Hypothetical SAR and RAR'!$C$21*$B$80)</f>
        <v>173.71023615990714</v>
      </c>
      <c r="P85" s="210">
        <f>$F$15+$E$22*MIN($L24,$K$80)+IF($K$80-$L24&gt;0,$E$23*($K$80-$L24))+('Hypothetical SAR and RAR'!$C$21*$K$80)</f>
        <v>173.71023615990714</v>
      </c>
      <c r="Q85" s="210">
        <f>$F$15+$E$25*MIN($M24,$K$80)+IF($K$80-$M24&gt;0,$E$26*($K$80-$M24))+('Hypothetical SAR and RAR'!$C$21*$K$80)</f>
        <v>173.71023615990714</v>
      </c>
      <c r="R85" s="482"/>
      <c r="S85" s="482"/>
      <c r="T85" s="482"/>
      <c r="U85" s="482"/>
      <c r="W85" s="482"/>
      <c r="X85" s="482"/>
      <c r="Y85" s="482"/>
      <c r="Z85" s="482"/>
    </row>
    <row r="86" spans="2:26">
      <c r="B86" s="144" t="s">
        <v>203</v>
      </c>
      <c r="C86" s="210">
        <f>$C$22*MIN(I25,$B$80)+IF($B$80-I25&gt;0,$C$23*($B$80-I25))+('Hypothetical SAR and RAR'!$C$21*$B$80)</f>
        <v>170.3833244629304</v>
      </c>
      <c r="D86" s="210">
        <f>$C$25*MIN(J25,$B$80)+IF($B$80-J25&gt;0,$C$26*($B$80-J25))+('Hypothetical SAR and RAR'!$C$21*$B$80)</f>
        <v>173.24771465113361</v>
      </c>
      <c r="E86" s="210">
        <f>$F$15+$D$22*MIN(I25,$B$80)+IF($B$80-I25&gt;0,$D$23*($B$80-I25))+('Hypothetical SAR and RAR'!$C$21*$B$80)</f>
        <v>173.71023615990714</v>
      </c>
      <c r="F86" s="210">
        <f>$F$15+$D$25*MIN(J25,$B$80)+IF($B$80-J25&gt;0,$D$26*($B$80-J25))+('Hypothetical SAR and RAR'!$C$21*$B$80)</f>
        <v>176.22974763793476</v>
      </c>
      <c r="G86" s="210">
        <f>$F$15+$E$22*MIN(I25,$B$80)+IF($B$80-I25&gt;0,$E$23*($B$80-I25))+('Hypothetical SAR and RAR'!$C$21*$B$80)</f>
        <v>173.71023615990714</v>
      </c>
      <c r="H86" s="210">
        <f>$F$15+$E$25*MIN(J25,$B$80)+IF($B$80-J25&gt;0,$E$26*($B$80-J25))+('Hypothetical SAR and RAR'!$C$21*$B$80)</f>
        <v>176.22974763793476</v>
      </c>
      <c r="I86" s="256"/>
      <c r="J86" s="256"/>
      <c r="K86" s="144" t="s">
        <v>203</v>
      </c>
      <c r="L86" s="210">
        <f>$C$22*MIN($L25,$K$80)+IF($K$80-$L25&gt;0,$C$23*($K$80-$L25))+('Hypothetical SAR and RAR'!$C$21*$K$80)</f>
        <v>176.88328681308383</v>
      </c>
      <c r="M86" s="210">
        <f>$C$25*MIN($M25,$K$80)+IF($K$80-$M25&gt;0,$C$26*($K$80-$M25))+('Hypothetical SAR and RAR'!$C$21*$K$80)</f>
        <v>170.3833244629304</v>
      </c>
      <c r="N86" s="210">
        <f>$F$15+$D$22*MIN($L25,$B$80)+IF($B$80-$L25&gt;0,$D$23*($B$80-$L25))+('Hypothetical SAR and RAR'!$C$21*$B$80)</f>
        <v>179.42758912927758</v>
      </c>
      <c r="O86" s="210">
        <f>$F$15+$D$25*MIN($M25,$B$80)+IF($B$80-$M25&gt;0,$D$26*($B$80-$M25))+('Hypothetical SAR and RAR'!$C$21*$B$80)</f>
        <v>173.71023615990714</v>
      </c>
      <c r="P86" s="210">
        <f>$F$15+$E$22*MIN($L25,$K$80)+IF($K$80-$L25&gt;0,$E$23*($K$80-$L25))+('Hypothetical SAR and RAR'!$C$21*$K$80)</f>
        <v>179.42758912927758</v>
      </c>
      <c r="Q86" s="210">
        <f>$F$15+$E$25*MIN($M25,$K$80)+IF($K$80-$M25&gt;0,$E$26*($K$80-$M25))+('Hypothetical SAR and RAR'!$C$21*$K$80)</f>
        <v>173.71023615990714</v>
      </c>
      <c r="R86" s="482"/>
      <c r="S86" s="482"/>
      <c r="T86" s="482"/>
      <c r="U86" s="482"/>
      <c r="W86" s="482"/>
      <c r="X86" s="482"/>
      <c r="Y86" s="482"/>
      <c r="Z86" s="482"/>
    </row>
    <row r="87" spans="2:26">
      <c r="B87" s="6" t="s">
        <v>113</v>
      </c>
      <c r="C87" s="211">
        <f t="shared" ref="C87:H87" si="12">SUMPRODUCT(C83:C86,$U$22:$U$25)</f>
        <v>173.5931140906192</v>
      </c>
      <c r="D87" s="211">
        <f t="shared" si="12"/>
        <v>174.20282607133186</v>
      </c>
      <c r="E87" s="211">
        <f t="shared" si="12"/>
        <v>176.53356024554401</v>
      </c>
      <c r="F87" s="211">
        <f t="shared" si="12"/>
        <v>177.06986159862885</v>
      </c>
      <c r="G87" s="211">
        <f t="shared" si="12"/>
        <v>176.53356024554401</v>
      </c>
      <c r="H87" s="211">
        <f t="shared" si="12"/>
        <v>177.06986159862885</v>
      </c>
      <c r="I87" s="257"/>
      <c r="J87" s="257"/>
      <c r="K87" s="6" t="s">
        <v>113</v>
      </c>
      <c r="L87" s="211">
        <f t="shared" ref="L87:Q87" si="13">SUMPRODUCT(L83:L86,$U$31:$U$34)</f>
        <v>183.5633556263403</v>
      </c>
      <c r="M87" s="211">
        <f t="shared" si="13"/>
        <v>174.07040763257908</v>
      </c>
      <c r="N87" s="211">
        <f t="shared" si="13"/>
        <v>185.30336335805737</v>
      </c>
      <c r="O87" s="211">
        <f t="shared" si="13"/>
        <v>176.95338662335692</v>
      </c>
      <c r="P87" s="211">
        <f t="shared" si="13"/>
        <v>185.30336335805737</v>
      </c>
      <c r="Q87" s="211">
        <f t="shared" si="13"/>
        <v>176.95338662335692</v>
      </c>
      <c r="R87" s="482"/>
      <c r="S87" s="482"/>
      <c r="T87" s="482"/>
      <c r="U87" s="482"/>
      <c r="W87" s="482"/>
      <c r="X87" s="482"/>
      <c r="Y87" s="482"/>
      <c r="Z87" s="482"/>
    </row>
    <row r="88" spans="2:26">
      <c r="C88" s="388"/>
      <c r="D88" s="388"/>
      <c r="E88" s="388"/>
      <c r="F88" s="388"/>
      <c r="G88" s="211"/>
      <c r="H88" s="211"/>
      <c r="I88" s="211"/>
      <c r="J88" s="211"/>
      <c r="L88" s="211"/>
      <c r="M88" s="211"/>
      <c r="N88" s="211"/>
      <c r="O88" s="211"/>
      <c r="P88" s="211"/>
      <c r="Q88" s="211"/>
    </row>
    <row r="89" spans="2:26" ht="15" thickBot="1">
      <c r="B89" s="7"/>
      <c r="C89" s="208"/>
      <c r="D89" s="208"/>
      <c r="E89" s="209"/>
      <c r="F89" s="146"/>
      <c r="G89" s="147"/>
      <c r="H89" s="147"/>
      <c r="I89" s="147"/>
      <c r="J89" s="147"/>
      <c r="K89" s="7"/>
      <c r="L89" s="208"/>
      <c r="M89" s="208"/>
      <c r="N89" s="209"/>
      <c r="O89" s="146"/>
      <c r="P89" s="147"/>
      <c r="Q89" s="147"/>
    </row>
    <row r="90" spans="2:26" ht="15" thickBot="1">
      <c r="B90" s="654">
        <f>IF('Hypothetical Summary'!$H$9="",400,'Hypothetical Summary'!$H$9)</f>
        <v>400</v>
      </c>
      <c r="C90" s="730" t="s">
        <v>281</v>
      </c>
      <c r="D90" s="655"/>
      <c r="E90" s="655"/>
      <c r="F90" s="655"/>
      <c r="G90" s="655"/>
      <c r="H90" s="655"/>
      <c r="I90" s="643"/>
      <c r="J90" s="643"/>
      <c r="K90" s="654">
        <f>IF('Hypothetical Summary'!$H$9="",400,'Hypothetical Summary'!$H$9)</f>
        <v>400</v>
      </c>
      <c r="L90" s="595" t="s">
        <v>283</v>
      </c>
      <c r="M90" s="587"/>
      <c r="N90" s="587"/>
      <c r="O90" s="587"/>
      <c r="P90" s="587"/>
      <c r="Q90" s="587"/>
    </row>
    <row r="91" spans="2:26">
      <c r="B91" s="7"/>
      <c r="C91" s="594" t="str">
        <f>C81</f>
        <v>6/1/2025</v>
      </c>
      <c r="D91" s="594"/>
      <c r="E91" s="593" t="str">
        <f>E81</f>
        <v>10/1/25</v>
      </c>
      <c r="F91" s="594"/>
      <c r="G91" s="594" t="str">
        <f>G81</f>
        <v>Proposed</v>
      </c>
      <c r="H91" s="594"/>
      <c r="I91" s="596"/>
      <c r="J91" s="597"/>
      <c r="K91" s="7"/>
      <c r="L91" s="263" t="str">
        <f>L81</f>
        <v>6/1/2025</v>
      </c>
      <c r="M91" s="263"/>
      <c r="N91" s="264" t="str">
        <f>N81</f>
        <v>10/1/25</v>
      </c>
      <c r="O91" s="263"/>
      <c r="P91" s="263" t="str">
        <f>P81</f>
        <v>Proposed</v>
      </c>
      <c r="Q91" s="263"/>
    </row>
    <row r="92" spans="2:26">
      <c r="B92" s="7"/>
      <c r="C92" s="208" t="s">
        <v>196</v>
      </c>
      <c r="D92" s="208" t="s">
        <v>197</v>
      </c>
      <c r="E92" s="208" t="s">
        <v>196</v>
      </c>
      <c r="F92" s="208" t="s">
        <v>197</v>
      </c>
      <c r="G92" s="208" t="s">
        <v>196</v>
      </c>
      <c r="H92" s="208" t="s">
        <v>197</v>
      </c>
      <c r="I92" s="256"/>
      <c r="J92" s="256"/>
      <c r="K92" s="7"/>
      <c r="L92" s="208" t="s">
        <v>196</v>
      </c>
      <c r="M92" s="208" t="s">
        <v>197</v>
      </c>
      <c r="N92" s="208" t="s">
        <v>196</v>
      </c>
      <c r="O92" s="208" t="s">
        <v>197</v>
      </c>
      <c r="P92" s="208" t="s">
        <v>196</v>
      </c>
      <c r="Q92" s="208" t="s">
        <v>197</v>
      </c>
    </row>
    <row r="93" spans="2:26">
      <c r="B93" s="138" t="s">
        <v>129</v>
      </c>
      <c r="C93" s="210">
        <f>$C$31*MIN(I22,$B$90)+IF($B$90-I22&gt;0,$C$32*($B$90-I22))+('Hypothetical SAR and RAR'!$C$21*$B$90)</f>
        <v>109.62488999999999</v>
      </c>
      <c r="D93" s="210">
        <f>$C$34*MIN(J22,$B$90)+IF($B$90-J22&gt;0,$C$35*($B$90-J22))+('Hypothetical SAR and RAR'!$C$21*$B$90)</f>
        <v>109.05201</v>
      </c>
      <c r="E93" s="210">
        <f>$Q$15+$D$31*MIN(I22,$B$90)+IF($B$90-I22&gt;0,$D$32*($B$90-I22))+('Hypothetical SAR and RAR'!$C$21*$B$90)</f>
        <v>105.00411</v>
      </c>
      <c r="F93" s="210">
        <f>$Q$15+$D$34*MIN(J22,$B$90)+IF($B$90-J22&gt;0,$D$35*($B$90-J22))+('Hypothetical SAR and RAR'!$C$21*$B$90)</f>
        <v>104.50019</v>
      </c>
      <c r="G93" s="210">
        <f>$Q$15+$E$31*MIN(I22,$B$90)+IF($B$90-I22&gt;0,$E$32*($B$90-I22))+('Hypothetical SAR and RAR'!$C$21*$B$90)</f>
        <v>105.00410999999998</v>
      </c>
      <c r="H93" s="210">
        <f>$Q$15+$E$34*MIN(J22,$B$90)+IF($B$90-J22&gt;0,$E$35*($B$90-J22))+('Hypothetical SAR and RAR'!$C$21*$B$90)</f>
        <v>104.50018999999998</v>
      </c>
      <c r="I93" s="256"/>
      <c r="J93" s="256"/>
      <c r="K93" s="138" t="s">
        <v>129</v>
      </c>
      <c r="L93" s="210">
        <f>$C$31*MIN($L22,$K$90)+IF($K$90-$L22&gt;0,$C$32*($K$90-$L22))+('Hypothetical SAR and RAR'!$C$21*$K$90)</f>
        <v>117.93164999999999</v>
      </c>
      <c r="M93" s="210">
        <f>$C$34*MIN($M22,$K$90)+IF($K$90-$M22&gt;0,$C$35*($K$90-$M22))+('Hypothetical SAR and RAR'!$C$21*$K$90)</f>
        <v>110.19777000000001</v>
      </c>
      <c r="N93" s="210">
        <f>$Q$15+$D$31*MIN($L22,$B$90)+IF($B$90-$L22&gt;0,$D$32*($B$90-$L22))+('Hypothetical SAR and RAR'!$C$21*$B$90)</f>
        <v>112.31095000000001</v>
      </c>
      <c r="O93" s="210">
        <f>$Q$15+$D$34*MIN($M22,$B$90)+IF($B$90-$M22&gt;0,$D$35*($B$90-$M22))+('Hypothetical SAR and RAR'!$C$21*$B$90)</f>
        <v>105.50802999999999</v>
      </c>
      <c r="P93" s="210">
        <f>$Q$15+$E$31*MIN($L22,$B$90)+IF($B$90-$L22&gt;0,$E$32*($B$90-$L22))+('Hypothetical SAR and RAR'!$C$21*$B$90)</f>
        <v>112.31094999999999</v>
      </c>
      <c r="Q93" s="210">
        <f>$Q$15+$E$34*MIN($M22,$B$90)+IF($B$90-$M22&gt;0,$E$35*($B$90-$M22))+('Hypothetical SAR and RAR'!$C$21*$B$90)</f>
        <v>105.50802999999999</v>
      </c>
      <c r="R93" s="482"/>
      <c r="S93" s="482"/>
      <c r="T93" s="482"/>
      <c r="U93" s="482"/>
      <c r="W93" s="482"/>
      <c r="X93" s="482"/>
      <c r="Y93" s="482"/>
      <c r="Z93" s="482"/>
    </row>
    <row r="94" spans="2:26">
      <c r="B94" s="141" t="s">
        <v>201</v>
      </c>
      <c r="C94" s="210">
        <f>$C$31*MIN(I23,$B$90)+IF($B$90-I23&gt;0,$C$32*($B$90-I23))+('Hypothetical SAR and RAR'!$C$21*$B$90)</f>
        <v>106.116</v>
      </c>
      <c r="D94" s="210">
        <f>$C$34*MIN(J23,$B$90)+IF($B$90-J23&gt;0,$C$35*($B$90-J23))+('Hypothetical SAR and RAR'!$C$21*$B$90)</f>
        <v>106.116</v>
      </c>
      <c r="E94" s="210">
        <f>$Q$15+$D$31*MIN(I23,$B$90)+IF($B$90-I23&gt;0,$D$32*($B$90-I23))+('Hypothetical SAR and RAR'!$C$21*$B$90)</f>
        <v>101.91759999999999</v>
      </c>
      <c r="F94" s="210">
        <f>$Q$15+$D$34*MIN(J23,$B$90)+IF($B$90-J23&gt;0,$D$35*($B$90-J23))+('Hypothetical SAR and RAR'!$C$21*$B$90)</f>
        <v>101.91759999999999</v>
      </c>
      <c r="G94" s="210">
        <f>$Q$15+$E$31*MIN(I23,$B$90)+IF($B$90-I23&gt;0,$E$32*($B$90-I23))+('Hypothetical SAR and RAR'!$C$21*$B$90)</f>
        <v>101.91759999999999</v>
      </c>
      <c r="H94" s="210">
        <f>$Q$15+$E$34*MIN(J23,$B$90)+IF($B$90-J23&gt;0,$E$35*($B$90-J23))+('Hypothetical SAR and RAR'!$C$21*$B$90)</f>
        <v>101.91759999999999</v>
      </c>
      <c r="I94" s="256"/>
      <c r="J94" s="256"/>
      <c r="K94" s="141" t="s">
        <v>201</v>
      </c>
      <c r="L94" s="210">
        <f>$C$31*MIN($L23,$K$90)+IF($K$90-$L23&gt;0,$C$32*($K$90-$L23))+('Hypothetical SAR and RAR'!$C$21*$K$90)</f>
        <v>106.116</v>
      </c>
      <c r="M94" s="210">
        <f>$C$34*MIN($M23,$K$90)+IF($K$90-$M23&gt;0,$C$35*($K$90-$M23))+('Hypothetical SAR and RAR'!$C$21*$K$90)</f>
        <v>106.116</v>
      </c>
      <c r="N94" s="210">
        <f>$Q$15+$D$31*MIN($L23,$B$90)+IF($B$90-$L23&gt;0,$D$32*($B$90-$L23))+('Hypothetical SAR and RAR'!$C$21*$B$90)</f>
        <v>101.91759999999999</v>
      </c>
      <c r="O94" s="210">
        <f>$Q$15+$D$34*MIN($M23,$B$90)+IF($B$90-$M23&gt;0,$D$35*($B$90-$M23))+('Hypothetical SAR and RAR'!$C$21*$B$90)</f>
        <v>101.91759999999999</v>
      </c>
      <c r="P94" s="210">
        <f>$Q$15+$E$31*MIN($L23,$B$90)+IF($B$90-$L23&gt;0,$E$32*($B$90-$L23))+('Hypothetical SAR and RAR'!$C$21*$B$90)</f>
        <v>101.91759999999999</v>
      </c>
      <c r="Q94" s="210">
        <f>$Q$15+$E$34*MIN($M23,$B$90)+IF($B$90-$M23&gt;0,$E$35*($B$90-$M23))+('Hypothetical SAR and RAR'!$C$21*$B$90)</f>
        <v>101.91759999999999</v>
      </c>
      <c r="R94" s="482"/>
      <c r="S94" s="482"/>
      <c r="T94" s="482"/>
      <c r="U94" s="482"/>
      <c r="W94" s="482"/>
      <c r="X94" s="482"/>
      <c r="Y94" s="482"/>
      <c r="Z94" s="482"/>
    </row>
    <row r="95" spans="2:26">
      <c r="B95" s="141" t="s">
        <v>202</v>
      </c>
      <c r="C95" s="210">
        <f>$C$31*MIN(I24,$B$90)+IF($B$90-I24&gt;0,$C$32*($B$90-I24))+('Hypothetical SAR and RAR'!$C$21*$B$90)</f>
        <v>106.116</v>
      </c>
      <c r="D95" s="210">
        <f>$C$34*MIN(J24,$B$90)+IF($B$90-J24&gt;0,$C$35*($B$90-J24))+('Hypothetical SAR and RAR'!$C$21*$B$90)</f>
        <v>106.116</v>
      </c>
      <c r="E95" s="210">
        <f>$Q$15+$D$31*MIN(I24,$B$90)+IF($B$90-I24&gt;0,$D$32*($B$90-I24))+('Hypothetical SAR and RAR'!$C$21*$B$90)</f>
        <v>101.91759999999999</v>
      </c>
      <c r="F95" s="210">
        <f>$Q$15+$D$34*MIN(J24,$B$90)+IF($B$90-J24&gt;0,$D$35*($B$90-J24))+('Hypothetical SAR and RAR'!$C$21*$B$90)</f>
        <v>101.91759999999999</v>
      </c>
      <c r="G95" s="210">
        <f>$Q$15+$E$31*MIN(I24,$B$90)+IF($B$90-I24&gt;0,$E$32*($B$90-I24))+('Hypothetical SAR and RAR'!$C$21*$B$90)</f>
        <v>101.91759999999999</v>
      </c>
      <c r="H95" s="210">
        <f>$Q$15+$E$34*MIN(J24,$B$90)+IF($B$90-J24&gt;0,$E$35*($B$90-J24))+('Hypothetical SAR and RAR'!$C$21*$B$90)</f>
        <v>101.91759999999999</v>
      </c>
      <c r="I95" s="256"/>
      <c r="J95" s="256"/>
      <c r="K95" s="141" t="s">
        <v>202</v>
      </c>
      <c r="L95" s="210">
        <f>$C$31*MIN($L24,$K$90)+IF($K$90-$L24&gt;0,$C$32*($K$90-$L24))+('Hypothetical SAR and RAR'!$C$21*$K$90)</f>
        <v>106.116</v>
      </c>
      <c r="M95" s="210">
        <f>$C$34*MIN($M24,$K$90)+IF($K$90-$M24&gt;0,$C$35*($K$90-$M24))+('Hypothetical SAR and RAR'!$C$21*$K$90)</f>
        <v>106.116</v>
      </c>
      <c r="N95" s="210">
        <f>$Q$15+$D$31*MIN($L24,$B$90)+IF($B$90-$L24&gt;0,$D$32*($B$90-$L24))+('Hypothetical SAR and RAR'!$C$21*$B$90)</f>
        <v>101.91759999999999</v>
      </c>
      <c r="O95" s="210">
        <f>$Q$15+$D$34*MIN($M24,$B$90)+IF($B$90-$M24&gt;0,$D$35*($B$90-$M24))+('Hypothetical SAR and RAR'!$C$21*$B$90)</f>
        <v>101.91759999999999</v>
      </c>
      <c r="P95" s="210">
        <f>$Q$15+$E$31*MIN($L24,$B$90)+IF($B$90-$L24&gt;0,$E$32*($B$90-$L24))+('Hypothetical SAR and RAR'!$C$21*$B$90)</f>
        <v>101.91759999999999</v>
      </c>
      <c r="Q95" s="210">
        <f>$Q$15+$E$34*MIN($M24,$B$90)+IF($B$90-$M24&gt;0,$E$35*($B$90-$M24))+('Hypothetical SAR and RAR'!$C$21*$B$90)</f>
        <v>101.91759999999999</v>
      </c>
      <c r="R95" s="482"/>
      <c r="S95" s="482"/>
      <c r="T95" s="482"/>
      <c r="U95" s="482"/>
      <c r="W95" s="482"/>
      <c r="X95" s="482"/>
      <c r="Y95" s="482"/>
      <c r="Z95" s="482"/>
    </row>
    <row r="96" spans="2:26">
      <c r="B96" s="144" t="s">
        <v>203</v>
      </c>
      <c r="C96" s="210">
        <f>$C$31*MIN(I25,$B$90)+IF($B$90-I25&gt;0,$C$32*($B$90-I25))+('Hypothetical SAR and RAR'!$C$21*$B$90)</f>
        <v>106.116</v>
      </c>
      <c r="D96" s="210">
        <f>$C$34*MIN(J25,$B$90)+IF($B$90-J25&gt;0,$C$35*($B$90-J25))+('Hypothetical SAR and RAR'!$C$21*$B$90)</f>
        <v>107.97785999999999</v>
      </c>
      <c r="E96" s="210">
        <f>$Q$15+$D$31*MIN(I25,$B$90)+IF($B$90-I25&gt;0,$D$32*($B$90-I25))+('Hypothetical SAR and RAR'!$C$21*$B$90)</f>
        <v>101.91759999999999</v>
      </c>
      <c r="F96" s="210">
        <f>$Q$15+$D$34*MIN(J25,$B$90)+IF($B$90-J25&gt;0,$D$35*($B$90-J25))+('Hypothetical SAR and RAR'!$C$21*$B$90)</f>
        <v>103.55534</v>
      </c>
      <c r="G96" s="210">
        <f>$Q$15+$E$31*MIN(I25,$B$90)+IF($B$90-I25&gt;0,$E$32*($B$90-I25))+('Hypothetical SAR and RAR'!$C$21*$B$90)</f>
        <v>101.91759999999999</v>
      </c>
      <c r="H96" s="210">
        <f>$Q$15+$E$34*MIN(J25,$B$90)+IF($B$90-J25&gt;0,$E$35*($B$90-J25))+('Hypothetical SAR and RAR'!$C$21*$B$90)</f>
        <v>103.55533999999999</v>
      </c>
      <c r="I96" s="256"/>
      <c r="J96" s="256"/>
      <c r="K96" s="144" t="s">
        <v>203</v>
      </c>
      <c r="L96" s="210">
        <f>$C$31*MIN($L25,$K$90)+IF($K$90-$L25&gt;0,$C$32*($K$90-$L25))+('Hypothetical SAR and RAR'!$C$21*$K$90)</f>
        <v>110.34099000000001</v>
      </c>
      <c r="M96" s="210">
        <f>$C$34*MIN($M25,$K$90)+IF($K$90-$M25&gt;0,$C$35*($K$90-$M25))+('Hypothetical SAR and RAR'!$C$21*$K$90)</f>
        <v>106.116</v>
      </c>
      <c r="N96" s="210">
        <f>$Q$15+$D$31*MIN($L25,$B$90)+IF($B$90-$L25&gt;0,$D$32*($B$90-$L25))+('Hypothetical SAR and RAR'!$C$21*$B$90)</f>
        <v>105.63401</v>
      </c>
      <c r="O96" s="210">
        <f>$Q$15+$D$34*MIN($M25,$B$90)+IF($B$90-$M25&gt;0,$D$35*($B$90-$M25))+('Hypothetical SAR and RAR'!$C$21*$B$90)</f>
        <v>101.91759999999999</v>
      </c>
      <c r="P96" s="210">
        <f>$Q$15+$E$31*MIN($L25,$B$90)+IF($B$90-$L25&gt;0,$E$32*($B$90-$L25))+('Hypothetical SAR and RAR'!$C$21*$B$90)</f>
        <v>105.63400999999999</v>
      </c>
      <c r="Q96" s="210">
        <f>$Q$15+$E$34*MIN($M25,$B$90)+IF($B$90-$M25&gt;0,$E$35*($B$90-$M25))+('Hypothetical SAR and RAR'!$C$21*$B$90)</f>
        <v>101.91759999999999</v>
      </c>
      <c r="R96" s="482"/>
      <c r="S96" s="482"/>
      <c r="T96" s="482"/>
      <c r="U96" s="482"/>
      <c r="W96" s="482"/>
      <c r="X96" s="482"/>
      <c r="Y96" s="482"/>
      <c r="Z96" s="482"/>
    </row>
    <row r="97" spans="2:26">
      <c r="B97" s="6" t="s">
        <v>113</v>
      </c>
      <c r="C97" s="211">
        <f t="shared" ref="C97:H97" si="14">SUMPRODUCT(C93:C96,$V$22:$V$25)</f>
        <v>107.88143513694635</v>
      </c>
      <c r="D97" s="211">
        <f t="shared" si="14"/>
        <v>108.50022692740714</v>
      </c>
      <c r="E97" s="211">
        <f t="shared" si="14"/>
        <v>103.47052220746056</v>
      </c>
      <c r="F97" s="211">
        <f t="shared" si="14"/>
        <v>104.01482740060572</v>
      </c>
      <c r="G97" s="211">
        <f t="shared" si="14"/>
        <v>103.47052220746056</v>
      </c>
      <c r="H97" s="211">
        <f t="shared" si="14"/>
        <v>104.0148274006057</v>
      </c>
      <c r="I97" s="257"/>
      <c r="J97" s="257"/>
      <c r="K97" s="6" t="s">
        <v>113</v>
      </c>
      <c r="L97" s="211">
        <f t="shared" ref="L97:Q97" si="15">SUMPRODUCT(L93:L96,$V$31:$V$34)</f>
        <v>113.64331879619772</v>
      </c>
      <c r="M97" s="211">
        <f t="shared" si="15"/>
        <v>107.93233222129278</v>
      </c>
      <c r="N97" s="211">
        <f t="shared" si="15"/>
        <v>108.53882344606194</v>
      </c>
      <c r="O97" s="211">
        <f t="shared" si="15"/>
        <v>103.5152925934818</v>
      </c>
      <c r="P97" s="211">
        <f t="shared" si="15"/>
        <v>108.53882344606191</v>
      </c>
      <c r="Q97" s="211">
        <f t="shared" si="15"/>
        <v>103.5152925934818</v>
      </c>
      <c r="R97" s="482"/>
      <c r="S97" s="482"/>
      <c r="T97" s="482"/>
      <c r="U97" s="482"/>
      <c r="W97" s="482"/>
      <c r="X97" s="482"/>
      <c r="Y97" s="482"/>
      <c r="Z97" s="482"/>
    </row>
  </sheetData>
  <mergeCells count="42">
    <mergeCell ref="P3:T3"/>
    <mergeCell ref="I51:J51"/>
    <mergeCell ref="I61:J61"/>
    <mergeCell ref="C60:H60"/>
    <mergeCell ref="C41:D41"/>
    <mergeCell ref="E41:F41"/>
    <mergeCell ref="G41:H41"/>
    <mergeCell ref="I41:J41"/>
    <mergeCell ref="C61:D61"/>
    <mergeCell ref="E61:F61"/>
    <mergeCell ref="G61:H61"/>
    <mergeCell ref="C51:D51"/>
    <mergeCell ref="B2:D2"/>
    <mergeCell ref="E51:F51"/>
    <mergeCell ref="G51:H51"/>
    <mergeCell ref="C71:D71"/>
    <mergeCell ref="E71:F71"/>
    <mergeCell ref="G71:H71"/>
    <mergeCell ref="B39:H39"/>
    <mergeCell ref="E3:I3"/>
    <mergeCell ref="L80:Q80"/>
    <mergeCell ref="L90:Q90"/>
    <mergeCell ref="C91:D91"/>
    <mergeCell ref="E91:F91"/>
    <mergeCell ref="G91:H91"/>
    <mergeCell ref="I91:J91"/>
    <mergeCell ref="C90:H90"/>
    <mergeCell ref="C81:D81"/>
    <mergeCell ref="E81:F81"/>
    <mergeCell ref="G81:H81"/>
    <mergeCell ref="I81:J81"/>
    <mergeCell ref="C80:H80"/>
    <mergeCell ref="U20:V20"/>
    <mergeCell ref="Q21:R21"/>
    <mergeCell ref="S21:T21"/>
    <mergeCell ref="I71:J71"/>
    <mergeCell ref="C70:H70"/>
    <mergeCell ref="U29:V29"/>
    <mergeCell ref="Q30:R30"/>
    <mergeCell ref="S30:T30"/>
    <mergeCell ref="L60:Q60"/>
    <mergeCell ref="L70:Q7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11B6-392A-4CC6-9FF4-7D8D48F7E9FC}">
  <sheetPr>
    <tabColor rgb="FF92D050"/>
  </sheetPr>
  <dimension ref="A1:AC83"/>
  <sheetViews>
    <sheetView zoomScale="80" zoomScaleNormal="80" workbookViewId="0"/>
  </sheetViews>
  <sheetFormatPr defaultColWidth="8.88671875" defaultRowHeight="14.4"/>
  <cols>
    <col min="1" max="1" width="3.5546875" style="6" customWidth="1"/>
    <col min="2" max="2" width="19.44140625" style="6" customWidth="1"/>
    <col min="3" max="5" width="22.44140625" style="6" customWidth="1"/>
    <col min="6" max="6" width="20.88671875" style="6" customWidth="1"/>
    <col min="7" max="7" width="13.5546875" style="6" customWidth="1"/>
    <col min="8" max="8" width="14.109375" style="6" customWidth="1"/>
    <col min="9" max="9" width="13.5546875" style="6" customWidth="1"/>
    <col min="10" max="10" width="15.109375" style="6" customWidth="1"/>
    <col min="11" max="11" width="14.88671875" style="6" customWidth="1"/>
    <col min="12" max="14" width="15.44140625" style="6" customWidth="1"/>
    <col min="15" max="15" width="13" style="6" customWidth="1"/>
    <col min="16" max="16" width="17.109375" style="6" bestFit="1" customWidth="1"/>
    <col min="17" max="17" width="19.44140625" style="6" customWidth="1"/>
    <col min="18" max="18" width="13" style="6" customWidth="1"/>
    <col min="19" max="20" width="14" style="6" customWidth="1"/>
    <col min="21" max="21" width="15" style="6" customWidth="1"/>
    <col min="22" max="26" width="14.6640625" style="6" customWidth="1"/>
    <col min="27" max="27" width="20.109375" style="6" bestFit="1" customWidth="1"/>
    <col min="28" max="28" width="17.109375" style="6" bestFit="1" customWidth="1"/>
    <col min="29" max="16384" width="8.88671875" style="6"/>
  </cols>
  <sheetData>
    <row r="1" spans="1:27" s="171" customFormat="1" ht="25.5" customHeight="1">
      <c r="A1" s="4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</row>
    <row r="2" spans="1:27" ht="15.6">
      <c r="B2" s="78"/>
      <c r="C2" s="40"/>
      <c r="D2" s="40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7">
      <c r="B3" s="79"/>
      <c r="C3" s="41" t="s">
        <v>161</v>
      </c>
      <c r="D3" s="180"/>
      <c r="R3" s="81"/>
      <c r="S3" s="81"/>
      <c r="T3" s="81"/>
      <c r="U3" s="81"/>
      <c r="V3" s="81"/>
      <c r="W3" s="81"/>
      <c r="X3" s="81"/>
    </row>
    <row r="4" spans="1:27" ht="15.6">
      <c r="B4" s="188" t="s">
        <v>3</v>
      </c>
      <c r="C4" s="191">
        <f>'Hypothetical Summary'!D6</f>
        <v>0</v>
      </c>
      <c r="D4" s="1"/>
      <c r="G4" s="573" t="s">
        <v>163</v>
      </c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41"/>
      <c r="V4" s="41"/>
      <c r="W4" s="41"/>
      <c r="X4" s="41"/>
      <c r="Y4" s="41"/>
      <c r="Z4" s="41"/>
      <c r="AA4" s="41"/>
    </row>
    <row r="5" spans="1:27" ht="31.2">
      <c r="B5" s="188" t="s">
        <v>389</v>
      </c>
      <c r="C5" s="191">
        <f>'Hypothetical Summary'!D7</f>
        <v>0</v>
      </c>
      <c r="D5" s="1"/>
      <c r="F5" s="1"/>
      <c r="G5" s="84" t="s">
        <v>3</v>
      </c>
      <c r="H5" s="84" t="s">
        <v>389</v>
      </c>
      <c r="I5" s="84" t="s">
        <v>59</v>
      </c>
      <c r="J5" s="84" t="s">
        <v>5</v>
      </c>
      <c r="K5" s="84" t="s">
        <v>98</v>
      </c>
      <c r="L5" s="84" t="s">
        <v>14</v>
      </c>
      <c r="M5" s="84" t="s">
        <v>80</v>
      </c>
      <c r="N5" s="84" t="s">
        <v>100</v>
      </c>
      <c r="O5" s="84" t="s">
        <v>97</v>
      </c>
      <c r="P5" s="84" t="s">
        <v>78</v>
      </c>
      <c r="Q5" s="84" t="s">
        <v>10</v>
      </c>
      <c r="R5" s="84" t="s">
        <v>225</v>
      </c>
      <c r="S5" s="84" t="s">
        <v>87</v>
      </c>
      <c r="T5" s="84" t="s">
        <v>256</v>
      </c>
    </row>
    <row r="6" spans="1:27" ht="15.6">
      <c r="B6" s="189" t="s">
        <v>59</v>
      </c>
      <c r="C6" s="191">
        <f>'Hypothetical Summary'!D8</f>
        <v>0</v>
      </c>
      <c r="D6" s="1"/>
      <c r="F6" s="1" t="s">
        <v>396</v>
      </c>
      <c r="G6" s="85">
        <f>'SAR and RAR (TOU-A)'!H6</f>
        <v>0.13947225796443538</v>
      </c>
      <c r="H6" s="85">
        <f>'SAR and RAR (TOU-A)'!I6</f>
        <v>0.13851677628572273</v>
      </c>
      <c r="I6" s="85">
        <f>'SAR and RAR (TOU-A)'!J6</f>
        <v>0.12314002343000446</v>
      </c>
      <c r="J6" s="85">
        <f>'SAR and RAR (TOU-A)'!K6</f>
        <v>0.16187429938936906</v>
      </c>
      <c r="K6" s="85">
        <f>'SAR and RAR (TOU-A)'!L6</f>
        <v>6.3686542882259556E-2</v>
      </c>
      <c r="L6" s="85">
        <f>'SAR and RAR (TOU-A)'!M6</f>
        <v>0.13364797448394217</v>
      </c>
      <c r="M6" s="85">
        <f>'SAR and RAR (TOU-A)'!N6</f>
        <v>0.12731947403217514</v>
      </c>
      <c r="N6" s="85">
        <f>'SAR and RAR (TOU-A)'!O6</f>
        <v>0.13322816465301632</v>
      </c>
      <c r="O6" s="85">
        <f>'SAR and RAR (TOU-A)'!P6</f>
        <v>0</v>
      </c>
      <c r="P6" s="85">
        <f>'SAR and RAR (TOU-A)'!Q6</f>
        <v>0</v>
      </c>
      <c r="Q6" s="85">
        <f>'SAR and RAR (TOU-A)'!R6</f>
        <v>9.8184298135955861E-2</v>
      </c>
      <c r="R6" s="85">
        <f>'SAR and RAR (TOU-A)'!S6</f>
        <v>0.16257567999876396</v>
      </c>
      <c r="S6" s="85">
        <f>'SAR and RAR (TOU-A)'!T6</f>
        <v>0.14009695092218111</v>
      </c>
      <c r="T6" s="85">
        <f>'SAR and RAR (TOU-A)'!U6</f>
        <v>0.14099532244925966</v>
      </c>
    </row>
    <row r="7" spans="1:27" ht="15.6">
      <c r="B7" s="189" t="s">
        <v>5</v>
      </c>
      <c r="C7" s="191">
        <f>'Hypothetical Summary'!D9</f>
        <v>0</v>
      </c>
      <c r="D7" s="1"/>
      <c r="F7" s="1"/>
      <c r="G7" s="152"/>
      <c r="H7" s="152"/>
      <c r="I7" s="152"/>
      <c r="J7" s="152"/>
      <c r="K7" s="152"/>
      <c r="L7" s="152"/>
      <c r="M7" s="152"/>
      <c r="N7" s="152"/>
      <c r="O7" s="86"/>
      <c r="P7" s="86"/>
      <c r="Q7" s="86"/>
      <c r="R7" s="86"/>
      <c r="S7" s="86"/>
      <c r="T7" s="153"/>
    </row>
    <row r="8" spans="1:27" ht="15.6" customHeight="1">
      <c r="B8" s="189" t="s">
        <v>98</v>
      </c>
      <c r="C8" s="191"/>
      <c r="D8" s="1"/>
      <c r="F8" s="87"/>
      <c r="G8" s="573" t="s">
        <v>164</v>
      </c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</row>
    <row r="9" spans="1:27" ht="15.75" customHeight="1">
      <c r="B9" s="189" t="s">
        <v>14</v>
      </c>
      <c r="C9" s="191">
        <f>'Hypothetical Summary'!D11</f>
        <v>0</v>
      </c>
      <c r="D9" s="1"/>
      <c r="F9" s="88" t="s">
        <v>221</v>
      </c>
      <c r="G9" s="84" t="s">
        <v>3</v>
      </c>
      <c r="H9" s="84" t="s">
        <v>389</v>
      </c>
      <c r="I9" s="84" t="s">
        <v>59</v>
      </c>
      <c r="J9" s="84" t="s">
        <v>5</v>
      </c>
      <c r="K9" s="84" t="s">
        <v>98</v>
      </c>
      <c r="L9" s="84" t="s">
        <v>14</v>
      </c>
      <c r="M9" s="84" t="s">
        <v>80</v>
      </c>
      <c r="N9" s="84" t="s">
        <v>100</v>
      </c>
      <c r="O9" s="84" t="s">
        <v>97</v>
      </c>
      <c r="P9" s="84" t="s">
        <v>78</v>
      </c>
      <c r="Q9" s="84" t="s">
        <v>10</v>
      </c>
      <c r="R9" s="84" t="s">
        <v>225</v>
      </c>
      <c r="S9" s="84" t="s">
        <v>87</v>
      </c>
      <c r="T9" s="84" t="s">
        <v>256</v>
      </c>
    </row>
    <row r="10" spans="1:27" ht="15.6">
      <c r="B10" s="189" t="s">
        <v>80</v>
      </c>
      <c r="C10" s="191">
        <f>'Hypothetical Summary'!D12</f>
        <v>0</v>
      </c>
      <c r="D10" s="1"/>
      <c r="F10" s="1" t="s">
        <v>396</v>
      </c>
      <c r="G10" s="89">
        <f>G6*G11</f>
        <v>0</v>
      </c>
      <c r="H10" s="89">
        <f>H6*H11</f>
        <v>0</v>
      </c>
      <c r="I10" s="89">
        <f t="shared" ref="I10:T10" si="0">I6*I11</f>
        <v>0</v>
      </c>
      <c r="J10" s="89">
        <f>J6*J11</f>
        <v>0</v>
      </c>
      <c r="K10" s="89">
        <f t="shared" si="0"/>
        <v>0</v>
      </c>
      <c r="L10" s="89">
        <f t="shared" si="0"/>
        <v>0</v>
      </c>
      <c r="M10" s="89">
        <f t="shared" si="0"/>
        <v>0</v>
      </c>
      <c r="N10" s="89">
        <f t="shared" si="0"/>
        <v>0</v>
      </c>
      <c r="O10" s="89">
        <f t="shared" si="0"/>
        <v>0</v>
      </c>
      <c r="P10" s="89">
        <f t="shared" si="0"/>
        <v>0</v>
      </c>
      <c r="Q10" s="89">
        <f t="shared" si="0"/>
        <v>0</v>
      </c>
      <c r="R10" s="89">
        <f>R6*R11</f>
        <v>0</v>
      </c>
      <c r="S10" s="89">
        <f t="shared" si="0"/>
        <v>0</v>
      </c>
      <c r="T10" s="89">
        <f t="shared" si="0"/>
        <v>0</v>
      </c>
      <c r="U10" s="89">
        <f>SUM(G10:T10)</f>
        <v>0</v>
      </c>
      <c r="V10" s="177"/>
    </row>
    <row r="11" spans="1:27" ht="15.6">
      <c r="B11" s="190" t="s">
        <v>100</v>
      </c>
      <c r="C11" s="191">
        <f>'Hypothetical Summary'!D13</f>
        <v>0</v>
      </c>
      <c r="D11" s="1"/>
      <c r="F11" s="1" t="s">
        <v>165</v>
      </c>
      <c r="G11" s="108">
        <f>C4</f>
        <v>0</v>
      </c>
      <c r="H11" s="108">
        <f>C5</f>
        <v>0</v>
      </c>
      <c r="I11" s="108">
        <f>C6</f>
        <v>0</v>
      </c>
      <c r="J11" s="108">
        <f>C7</f>
        <v>0</v>
      </c>
      <c r="K11" s="108">
        <f>C8</f>
        <v>0</v>
      </c>
      <c r="L11" s="108">
        <f>C9</f>
        <v>0</v>
      </c>
      <c r="M11" s="108">
        <f>C10</f>
        <v>0</v>
      </c>
      <c r="N11" s="108">
        <f>C11</f>
        <v>0</v>
      </c>
      <c r="O11" s="108">
        <f>C12</f>
        <v>0</v>
      </c>
      <c r="P11" s="108">
        <f>C17</f>
        <v>0</v>
      </c>
      <c r="Q11" s="108">
        <f>C14</f>
        <v>0</v>
      </c>
      <c r="R11" s="108">
        <f>C16</f>
        <v>0</v>
      </c>
      <c r="S11" s="108">
        <f>C15</f>
        <v>0</v>
      </c>
      <c r="T11" s="108">
        <f>C13</f>
        <v>0</v>
      </c>
      <c r="U11" s="89">
        <f>SUM(G11:T11)</f>
        <v>0</v>
      </c>
      <c r="V11" s="176"/>
    </row>
    <row r="12" spans="1:27" ht="15.6">
      <c r="B12" s="189" t="s">
        <v>97</v>
      </c>
      <c r="C12" s="191">
        <f>'Hypothetical Summary'!D14</f>
        <v>0</v>
      </c>
      <c r="D12" s="1"/>
      <c r="F12" s="88"/>
      <c r="U12" s="89"/>
    </row>
    <row r="13" spans="1:27" ht="15.75" customHeight="1">
      <c r="B13" s="189" t="s">
        <v>256</v>
      </c>
      <c r="C13" s="191">
        <f>'Hypothetical Summary'!D15</f>
        <v>0</v>
      </c>
      <c r="D13" s="1"/>
      <c r="F13" s="1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177"/>
    </row>
    <row r="14" spans="1:27" ht="15.75" customHeight="1">
      <c r="B14" s="189" t="s">
        <v>10</v>
      </c>
      <c r="C14" s="191">
        <f>'Hypothetical Summary'!D16</f>
        <v>0</v>
      </c>
      <c r="D14" s="1"/>
      <c r="F14" s="1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89"/>
      <c r="V14" s="176"/>
    </row>
    <row r="15" spans="1:27" ht="15.75" customHeight="1">
      <c r="B15" s="189" t="s">
        <v>87</v>
      </c>
      <c r="C15" s="191">
        <f>'Hypothetical Summary'!D17</f>
        <v>0</v>
      </c>
      <c r="D15" s="1"/>
      <c r="F15" s="1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89"/>
      <c r="V15" s="176"/>
    </row>
    <row r="16" spans="1:27" ht="15.6">
      <c r="B16" s="189" t="s">
        <v>225</v>
      </c>
      <c r="C16" s="191">
        <f>'Hypothetical Summary'!D18</f>
        <v>0</v>
      </c>
      <c r="D16" s="1"/>
      <c r="F16" s="198"/>
      <c r="G16" s="39"/>
      <c r="H16" s="39"/>
      <c r="I16" s="39"/>
      <c r="J16" s="39"/>
      <c r="K16" s="87"/>
      <c r="Z16" s="1"/>
      <c r="AA16" s="92"/>
    </row>
    <row r="17" spans="2:29" ht="15.6">
      <c r="B17" s="189" t="s">
        <v>78</v>
      </c>
      <c r="C17" s="197">
        <f>'Hypothetical Summary'!D19</f>
        <v>0</v>
      </c>
      <c r="D17" s="1"/>
      <c r="U17" s="575" t="s">
        <v>263</v>
      </c>
      <c r="V17" s="576"/>
      <c r="W17" s="575" t="s">
        <v>264</v>
      </c>
      <c r="X17" s="599"/>
      <c r="Z17" s="379"/>
      <c r="AA17" s="380"/>
      <c r="AC17" s="167"/>
    </row>
    <row r="18" spans="2:29" ht="15.6">
      <c r="B18" s="1" t="s">
        <v>113</v>
      </c>
      <c r="C18" s="191">
        <f>SUM(C4:C17)</f>
        <v>0</v>
      </c>
      <c r="D18" s="1"/>
      <c r="F18" s="87"/>
      <c r="G18" s="579" t="s">
        <v>168</v>
      </c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8"/>
      <c r="U18" s="577" t="s">
        <v>169</v>
      </c>
      <c r="V18" s="578"/>
      <c r="W18" s="577" t="s">
        <v>169</v>
      </c>
      <c r="X18" s="579"/>
      <c r="Z18" s="379"/>
      <c r="AA18" s="380"/>
    </row>
    <row r="19" spans="2:29" ht="31.2">
      <c r="B19" s="2"/>
      <c r="C19" s="2"/>
      <c r="D19" s="1"/>
      <c r="E19" s="87"/>
      <c r="G19" s="84" t="s">
        <v>3</v>
      </c>
      <c r="H19" s="84" t="s">
        <v>389</v>
      </c>
      <c r="I19" s="84" t="s">
        <v>59</v>
      </c>
      <c r="J19" s="84" t="s">
        <v>5</v>
      </c>
      <c r="K19" s="84" t="s">
        <v>98</v>
      </c>
      <c r="L19" s="84" t="s">
        <v>14</v>
      </c>
      <c r="M19" s="84" t="s">
        <v>80</v>
      </c>
      <c r="N19" s="84" t="s">
        <v>100</v>
      </c>
      <c r="O19" s="84" t="s">
        <v>97</v>
      </c>
      <c r="P19" s="84" t="s">
        <v>78</v>
      </c>
      <c r="Q19" s="84" t="s">
        <v>10</v>
      </c>
      <c r="R19" s="84" t="s">
        <v>225</v>
      </c>
      <c r="S19" s="84" t="s">
        <v>87</v>
      </c>
      <c r="T19" s="84" t="s">
        <v>256</v>
      </c>
      <c r="U19" s="94" t="s">
        <v>113</v>
      </c>
      <c r="V19" s="20"/>
      <c r="W19" s="94" t="s">
        <v>113</v>
      </c>
      <c r="X19" s="20"/>
      <c r="Z19" s="379"/>
      <c r="AA19" s="380"/>
      <c r="AC19" s="98"/>
    </row>
    <row r="20" spans="2:29" ht="15.6">
      <c r="B20" s="2" t="s">
        <v>250</v>
      </c>
      <c r="C20" s="235">
        <f>'Sales Allocations &amp; CCC'!S3</f>
        <v>8.0000000000000004E-4</v>
      </c>
      <c r="D20" s="235"/>
      <c r="F20" s="1" t="s">
        <v>396</v>
      </c>
      <c r="G20" s="85">
        <v>1</v>
      </c>
      <c r="H20" s="85">
        <v>0</v>
      </c>
      <c r="I20" s="85">
        <v>1</v>
      </c>
      <c r="J20" s="85">
        <v>1</v>
      </c>
      <c r="K20" s="85">
        <v>1</v>
      </c>
      <c r="L20" s="85">
        <v>1</v>
      </c>
      <c r="M20" s="85">
        <v>1</v>
      </c>
      <c r="N20" s="85">
        <v>1</v>
      </c>
      <c r="O20" s="85">
        <v>1</v>
      </c>
      <c r="P20" s="85">
        <v>1</v>
      </c>
      <c r="Q20" s="85">
        <v>1</v>
      </c>
      <c r="R20" s="85">
        <v>1</v>
      </c>
      <c r="S20" s="85">
        <v>1</v>
      </c>
      <c r="T20" s="85">
        <v>0</v>
      </c>
      <c r="U20" s="95">
        <f>SUMPRODUCT(I10:S10,I20:S20)</f>
        <v>0</v>
      </c>
      <c r="V20" s="90"/>
      <c r="W20" s="95">
        <f>SUMPRODUCT(G10,G20)</f>
        <v>0</v>
      </c>
      <c r="X20" s="90"/>
      <c r="Z20" s="379"/>
      <c r="AA20" s="89"/>
    </row>
    <row r="21" spans="2:29" ht="15.6">
      <c r="B21" s="2"/>
      <c r="C21" s="2"/>
      <c r="D21" s="1"/>
      <c r="F21" s="1" t="s">
        <v>165</v>
      </c>
      <c r="G21" s="85">
        <v>1</v>
      </c>
      <c r="H21" s="85">
        <v>0</v>
      </c>
      <c r="I21" s="85">
        <v>1</v>
      </c>
      <c r="J21" s="85">
        <v>1</v>
      </c>
      <c r="K21" s="85">
        <v>1</v>
      </c>
      <c r="L21" s="85">
        <v>1</v>
      </c>
      <c r="M21" s="85">
        <v>1</v>
      </c>
      <c r="N21" s="85">
        <v>1</v>
      </c>
      <c r="O21" s="85">
        <v>1</v>
      </c>
      <c r="P21" s="85">
        <v>1</v>
      </c>
      <c r="Q21" s="85">
        <v>1</v>
      </c>
      <c r="R21" s="85">
        <v>1</v>
      </c>
      <c r="S21" s="85">
        <v>1</v>
      </c>
      <c r="T21" s="85">
        <v>0</v>
      </c>
      <c r="U21" s="95">
        <f>SUMPRODUCT(I11:S11,I21:S21)</f>
        <v>0</v>
      </c>
      <c r="V21" s="90"/>
      <c r="W21" s="95">
        <f>SUMPRODUCT(G11,G21)</f>
        <v>0</v>
      </c>
      <c r="X21" s="90"/>
      <c r="Z21" s="379"/>
      <c r="AA21" s="380"/>
      <c r="AC21" s="1"/>
    </row>
    <row r="22" spans="2:29" ht="15.6">
      <c r="B22" s="2"/>
      <c r="C22" s="570" t="s">
        <v>442</v>
      </c>
      <c r="D22" s="571"/>
      <c r="E22" s="572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T22" s="1"/>
      <c r="U22" s="108"/>
      <c r="V22" s="1"/>
      <c r="Y22" s="379"/>
      <c r="Z22" s="99"/>
      <c r="AB22" s="168"/>
    </row>
    <row r="23" spans="2:29" ht="31.2">
      <c r="B23" s="1"/>
      <c r="C23" s="83" t="s">
        <v>339</v>
      </c>
      <c r="D23" s="83" t="s">
        <v>340</v>
      </c>
      <c r="E23" s="83" t="s">
        <v>341</v>
      </c>
      <c r="F23" s="41"/>
      <c r="T23" s="83"/>
      <c r="U23" s="1"/>
      <c r="Z23" s="100"/>
    </row>
    <row r="24" spans="2:29" ht="15.6">
      <c r="B24" s="106" t="s">
        <v>396</v>
      </c>
      <c r="C24" s="237">
        <f>'SAR and RAR (TOU-A)'!C25</f>
        <v>2428289.2411020878</v>
      </c>
      <c r="D24" s="237">
        <f>'SAR and RAR (TOU-A)'!D25</f>
        <v>2465317.8217447591</v>
      </c>
      <c r="E24" s="4">
        <f>'SAR and RAR (TOU-A)'!E25</f>
        <v>502540.6164810523</v>
      </c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"/>
      <c r="T24" s="201"/>
      <c r="U24" s="201"/>
      <c r="V24" s="1"/>
      <c r="W24" s="1"/>
      <c r="Y24" s="1"/>
      <c r="Z24" s="1"/>
    </row>
    <row r="25" spans="2:29" ht="15.6">
      <c r="B25" s="106" t="s">
        <v>165</v>
      </c>
      <c r="C25" s="237">
        <f>'SAR and RAR (TOU-A)'!C26</f>
        <v>18290445.652985182</v>
      </c>
      <c r="D25" s="237">
        <f>'SAR and RAR (TOU-A)'!D26</f>
        <v>20272867.503732543</v>
      </c>
      <c r="E25" s="4">
        <f>'SAR and RAR (TOU-A)'!E26</f>
        <v>3877834.6865865677</v>
      </c>
      <c r="F25" s="20"/>
      <c r="G25" s="101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1"/>
      <c r="U25" s="201"/>
      <c r="V25" s="102"/>
      <c r="W25" s="102"/>
      <c r="Y25" s="1"/>
      <c r="Z25" s="1"/>
    </row>
    <row r="26" spans="2:29" ht="15.6">
      <c r="B26" s="2"/>
      <c r="C26" s="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03"/>
      <c r="U26" s="104"/>
      <c r="V26" s="104"/>
      <c r="W26" s="104"/>
      <c r="Y26" s="1"/>
      <c r="Z26" s="1"/>
    </row>
    <row r="27" spans="2:29" ht="15.6">
      <c r="B27" s="2"/>
      <c r="C27" s="2"/>
      <c r="D27" s="1"/>
      <c r="E27" s="1"/>
      <c r="F27" s="564" t="s">
        <v>172</v>
      </c>
      <c r="G27" s="565"/>
      <c r="H27" s="565"/>
      <c r="I27" s="566"/>
      <c r="J27" s="2"/>
      <c r="K27" s="2"/>
      <c r="O27" s="1"/>
      <c r="P27" s="564" t="s">
        <v>173</v>
      </c>
      <c r="Q27" s="565"/>
      <c r="R27" s="565"/>
      <c r="S27" s="565"/>
      <c r="T27" s="566"/>
      <c r="U27" s="202"/>
      <c r="V27" s="52"/>
      <c r="W27" s="438">
        <f>'SAR and RAR (TOU-A)'!AC23</f>
        <v>45809</v>
      </c>
      <c r="X27" s="438">
        <f>'SAR and RAR (TOU-A)'!AD23</f>
        <v>45931</v>
      </c>
      <c r="Y27" s="438">
        <f>'SAR and RAR (TOU-A)'!AE23</f>
        <v>45809</v>
      </c>
      <c r="Z27" s="438">
        <f>'SAR and RAR (TOU-A)'!AF23</f>
        <v>45931</v>
      </c>
      <c r="AA27" s="1"/>
      <c r="AB27" s="1"/>
    </row>
    <row r="28" spans="2:29" ht="46.8">
      <c r="B28" s="2"/>
      <c r="C28" s="2"/>
      <c r="D28" s="1"/>
      <c r="E28" s="1"/>
      <c r="F28" s="83" t="str">
        <f>Summary!I3&amp;" Authorized Sales Forecast - Bundled"</f>
        <v>2026 Authorized Sales Forecast - Bundled</v>
      </c>
      <c r="G28" s="83" t="str">
        <f>'SAR and RAR'!H23</f>
        <v>10/1/25 Avg Rates(sales adj.)</v>
      </c>
      <c r="H28" s="83" t="s">
        <v>222</v>
      </c>
      <c r="I28" s="83" t="s">
        <v>223</v>
      </c>
      <c r="J28" s="83"/>
      <c r="K28" s="83"/>
      <c r="O28" s="1"/>
      <c r="P28" s="83" t="str">
        <f>F28</f>
        <v>2026 Authorized Sales Forecast - Bundled</v>
      </c>
      <c r="Q28" s="83" t="str">
        <f>G28</f>
        <v>10/1/25 Avg Rates(sales adj.)</v>
      </c>
      <c r="R28" s="83" t="s">
        <v>222</v>
      </c>
      <c r="S28" s="83" t="s">
        <v>223</v>
      </c>
      <c r="U28" s="83"/>
      <c r="V28" s="52"/>
      <c r="W28" s="574" t="s">
        <v>451</v>
      </c>
      <c r="X28" s="574"/>
      <c r="Y28" s="574" t="s">
        <v>450</v>
      </c>
      <c r="Z28" s="574"/>
      <c r="AA28" s="1"/>
      <c r="AB28" s="1"/>
    </row>
    <row r="29" spans="2:29" ht="15.6">
      <c r="B29" s="2"/>
      <c r="C29" s="2"/>
      <c r="D29" s="1"/>
      <c r="E29" s="1"/>
      <c r="F29" s="636">
        <f>'SAR and RAR (TOU-A)'!G24</f>
        <v>518117.44963314955</v>
      </c>
      <c r="G29" s="658">
        <f>IF('Hypothetical Summary'!$H$8="N",Z30,X30)</f>
        <v>37.106000000000002</v>
      </c>
      <c r="H29" s="478">
        <f>IF('Hypothetical Summary'!$I$7="Y",(SUM($I10:$K10,$P10:$Q10,$S10)/(IF('Hypothetical Summary'!$D$2=2025,$C24,$C34))*100)+(SUM($K10:$O10,$R10)/(IF('Hypothetical Summary'!$D$2=2025,$D24,$D34))*100)+($G10/(IF('Hypothetical Summary'!$D$2=2025,$E24,$E34))*100),(SUM($I10:$K10,$P10:$Q10,$S10)/(IF('Hypothetical Summary'!$D$2=2025,$C24,$C34))*100)+(SUM($K10:$O10,$R10)/(IF('Hypothetical Summary'!$D$2=2025,$D24,$D34))*100)+($G10/(IF('Hypothetical Summary'!$D$2=2025,$E24,$E34))*100))+G29</f>
        <v>37.106000000000002</v>
      </c>
      <c r="I29" s="449">
        <f>H29/G29-1</f>
        <v>0</v>
      </c>
      <c r="J29" s="107"/>
      <c r="K29" s="107"/>
      <c r="O29" s="106" t="s">
        <v>396</v>
      </c>
      <c r="P29" s="97">
        <f>'SAR and RAR (TOU-A)'!R24</f>
        <v>2442100.4570462531</v>
      </c>
      <c r="Q29" s="729">
        <v>36.137671999002876</v>
      </c>
      <c r="R29" s="478">
        <f>H29+($Q29-$G29)+($T10/((IF('Hypothetical Summary'!$D$2=2025,$C24,$C34))-(IF('Hypothetical Summary'!$D$2=2025,$E24,$E34)))*100)+($H10/((IF('Hypothetical Summary'!$D$2=2025,$C24,$C34))-(IF('Hypothetical Summary'!$D$2=2025,$E24,$E34)))*100)</f>
        <v>36.137671999002876</v>
      </c>
      <c r="S29" s="449">
        <f>R29/Q29-1</f>
        <v>0</v>
      </c>
      <c r="U29" s="107"/>
      <c r="V29" s="52" t="s">
        <v>341</v>
      </c>
      <c r="W29" s="52"/>
      <c r="X29" s="52"/>
      <c r="Y29" s="52"/>
      <c r="Z29" s="52"/>
    </row>
    <row r="30" spans="2:29" ht="15.6">
      <c r="B30" s="2"/>
      <c r="C30" s="2"/>
      <c r="D30" s="1"/>
      <c r="E30" s="1"/>
      <c r="F30" s="636">
        <f>'SAR and RAR (TOU-A)'!G25</f>
        <v>3218717.0926473769</v>
      </c>
      <c r="G30" s="658">
        <f>IF('Hypothetical Summary'!$H$8="N",Z31,X31)</f>
        <v>35.117000000000004</v>
      </c>
      <c r="H30" s="478">
        <f>IF('Hypothetical Summary'!$I$7="Y",(SUM($I11:$K11,$P11:$Q11,$S11)/(IF('Hypothetical Summary'!$D$2=2025,$C25,$C35))*100)+(SUM($K11:$O11,$R11)/(IF('Hypothetical Summary'!$D$2=2025,$D25,$D35))*100)+($G11/(IF('Hypothetical Summary'!$D$2=2025,$E25,$E35))*100),(SUM($I11:$J11,$P11:$Q11,$S11)/(IF('Hypothetical Summary'!$D$2=2025,$C25,$C35))*100)+(SUM($K11:$O11,$R11)/(IF('Hypothetical Summary'!$D$2=2025,$D25,$D35))*100)+($G11/(IF('Hypothetical Summary'!$D$2=2025,$E25,$E35))*100))+G30</f>
        <v>35.117000000000004</v>
      </c>
      <c r="I30" s="449">
        <f>H30/G30-1</f>
        <v>0</v>
      </c>
      <c r="J30" s="107"/>
      <c r="K30" s="107"/>
      <c r="O30" s="106" t="s">
        <v>165</v>
      </c>
      <c r="P30" s="97">
        <f>'SAR and RAR (TOU-A)'!R25</f>
        <v>17431428.835748378</v>
      </c>
      <c r="Q30" s="479">
        <v>33.966275336408145</v>
      </c>
      <c r="R30" s="478">
        <f>H30+($Q30-$G30)+($T11/((IF('Hypothetical Summary'!$D$2=2025,$C25,$C35))-(IF('Hypothetical Summary'!$D$2=2025,$E25,$E35)))*100)+($H11/((IF('Hypothetical Summary'!$D$2=2025,$C25,$C35))-(IF('Hypothetical Summary'!$D$2=2025,$E25,$E35)))*100)</f>
        <v>33.966275336408145</v>
      </c>
      <c r="S30" s="449">
        <f>R30/Q30-1</f>
        <v>0</v>
      </c>
      <c r="U30" s="107"/>
      <c r="V30" s="52" t="s">
        <v>396</v>
      </c>
      <c r="W30" s="439">
        <f>'SAR and RAR (TOU-A)'!AC26</f>
        <v>37.375</v>
      </c>
      <c r="X30" s="439">
        <f>'SAR and RAR (TOU-A)'!AD26</f>
        <v>37.106000000000002</v>
      </c>
      <c r="Y30" s="439">
        <f>'SAR and RAR (TOU-A)'!AE26</f>
        <v>38.103000000000002</v>
      </c>
      <c r="Z30" s="439">
        <f>'SAR and RAR (TOU-A)'!AF26</f>
        <v>37.834000000000003</v>
      </c>
    </row>
    <row r="31" spans="2:29" ht="15.6">
      <c r="B31" s="2"/>
      <c r="C31" s="2"/>
      <c r="D31" s="1"/>
      <c r="E31" s="1"/>
      <c r="H31" s="98"/>
      <c r="R31" s="1"/>
      <c r="S31" s="1"/>
      <c r="T31" s="103"/>
      <c r="U31" s="104"/>
      <c r="V31" s="52" t="s">
        <v>165</v>
      </c>
      <c r="W31" s="439">
        <f>'SAR and RAR (TOU-A)'!AC27</f>
        <v>35.430999999999997</v>
      </c>
      <c r="X31" s="439">
        <f>'SAR and RAR (TOU-A)'!AD27</f>
        <v>35.117000000000004</v>
      </c>
      <c r="Y31" s="439">
        <f>'SAR and RAR (TOU-A)'!AE27</f>
        <v>36.778999999999996</v>
      </c>
      <c r="Z31" s="439">
        <f>'SAR and RAR (TOU-A)'!AF27</f>
        <v>36.465000000000003</v>
      </c>
    </row>
    <row r="32" spans="2:29" ht="15.6">
      <c r="C32" s="570" t="s">
        <v>508</v>
      </c>
      <c r="D32" s="571"/>
      <c r="E32" s="572"/>
      <c r="R32" s="1"/>
      <c r="S32" s="1"/>
      <c r="T32" s="103"/>
      <c r="U32" s="104"/>
      <c r="V32" s="103"/>
      <c r="W32" s="109"/>
      <c r="X32" s="109"/>
    </row>
    <row r="33" spans="2:25" ht="31.2">
      <c r="B33" s="1"/>
      <c r="C33" s="83" t="s">
        <v>339</v>
      </c>
      <c r="D33" s="83" t="s">
        <v>340</v>
      </c>
      <c r="E33" s="83" t="s">
        <v>341</v>
      </c>
      <c r="F33" s="285"/>
      <c r="G33" s="285"/>
      <c r="H33" s="285"/>
      <c r="I33" s="20"/>
      <c r="J33" s="20"/>
      <c r="K33" s="20"/>
      <c r="L33" s="1"/>
      <c r="M33" s="1"/>
      <c r="N33" s="1"/>
      <c r="O33" s="1"/>
      <c r="P33" s="1"/>
      <c r="Q33" s="1"/>
      <c r="R33" s="1"/>
      <c r="S33" s="1"/>
      <c r="T33" s="103"/>
      <c r="U33" s="104"/>
      <c r="V33" s="103"/>
      <c r="W33" s="109"/>
      <c r="X33" s="109"/>
      <c r="Y33" s="105"/>
    </row>
    <row r="34" spans="2:25" ht="15.6">
      <c r="B34" s="106" t="s">
        <v>396</v>
      </c>
      <c r="C34" s="313">
        <f>'SAR and RAR (TOU-A)'!C38</f>
        <v>2442100.4570462531</v>
      </c>
      <c r="D34" s="313">
        <f>'SAR and RAR (TOU-A)'!D38</f>
        <v>2479597.9733180017</v>
      </c>
      <c r="E34" s="4">
        <f>'SAR and RAR (TOU-A)'!E38</f>
        <v>518117.44963314955</v>
      </c>
      <c r="F34" s="83"/>
      <c r="G34" s="83"/>
      <c r="H34" s="319"/>
      <c r="I34" s="20"/>
      <c r="J34" s="20"/>
      <c r="K34" s="20"/>
      <c r="L34" s="1"/>
      <c r="M34" s="1"/>
      <c r="N34" s="1"/>
      <c r="O34" s="1"/>
      <c r="P34" s="1"/>
      <c r="Q34" s="1"/>
      <c r="R34" s="1"/>
      <c r="S34" s="1"/>
      <c r="T34" s="103"/>
      <c r="U34" s="104"/>
      <c r="V34" s="103"/>
      <c r="W34" s="105"/>
      <c r="X34" s="109"/>
      <c r="Y34" s="105"/>
    </row>
    <row r="35" spans="2:25" ht="15.6">
      <c r="B35" s="106" t="s">
        <v>165</v>
      </c>
      <c r="C35" s="313">
        <f>'SAR and RAR (TOU-A)'!C39</f>
        <v>17431428.835748378</v>
      </c>
      <c r="D35" s="313">
        <f>'SAR and RAR (TOU-A)'!D39</f>
        <v>19476455.217814039</v>
      </c>
      <c r="E35" s="4">
        <f>'SAR and RAR (TOU-A)'!E39</f>
        <v>3218717.0926473769</v>
      </c>
      <c r="F35" s="3"/>
      <c r="G35" s="4"/>
      <c r="H35" s="5"/>
      <c r="I35" s="20"/>
      <c r="J35" s="20"/>
      <c r="K35" s="20"/>
      <c r="L35" s="1"/>
      <c r="M35" s="1"/>
      <c r="N35" s="1"/>
      <c r="O35" s="1"/>
      <c r="P35" s="1"/>
      <c r="Q35" s="1"/>
      <c r="R35" s="1"/>
      <c r="S35" s="1"/>
      <c r="T35" s="103"/>
      <c r="U35" s="104"/>
      <c r="V35" s="104"/>
      <c r="W35" s="102"/>
      <c r="X35" s="109"/>
      <c r="Y35" s="105"/>
    </row>
    <row r="36" spans="2:25" ht="15.6">
      <c r="E36" s="1"/>
      <c r="F36" s="3"/>
      <c r="G36" s="4"/>
      <c r="H36" s="5"/>
      <c r="I36" s="20"/>
      <c r="J36" s="20"/>
      <c r="K36" s="20"/>
      <c r="L36" s="1"/>
      <c r="M36" s="1"/>
      <c r="N36" s="1"/>
      <c r="O36" s="1"/>
      <c r="P36" s="1"/>
      <c r="Q36" s="1"/>
      <c r="R36" s="1"/>
      <c r="S36" s="1"/>
      <c r="T36" s="103"/>
      <c r="U36" s="104"/>
      <c r="V36" s="103"/>
      <c r="W36" s="105"/>
      <c r="X36" s="109"/>
      <c r="Y36" s="109"/>
    </row>
    <row r="37" spans="2:25" ht="15.6">
      <c r="E37" s="1"/>
      <c r="F37" s="3"/>
      <c r="G37" s="4"/>
      <c r="H37" s="5"/>
      <c r="I37" s="20"/>
      <c r="J37" s="20"/>
      <c r="K37" s="20"/>
      <c r="L37" s="1"/>
      <c r="M37" s="1"/>
      <c r="N37" s="1"/>
      <c r="O37" s="1"/>
      <c r="P37" s="1"/>
      <c r="Q37" s="1"/>
      <c r="R37" s="1"/>
      <c r="S37" s="1"/>
      <c r="T37" s="103"/>
      <c r="U37" s="104"/>
      <c r="V37" s="104"/>
      <c r="W37" s="104"/>
      <c r="X37" s="104"/>
      <c r="Y37" s="105"/>
    </row>
    <row r="38" spans="2:25" ht="15.6">
      <c r="E38" s="1"/>
      <c r="F38" s="3"/>
      <c r="G38" s="4"/>
      <c r="H38" s="5"/>
      <c r="I38" s="20"/>
      <c r="J38" s="20"/>
      <c r="K38" s="20"/>
      <c r="L38" s="1"/>
      <c r="M38" s="1"/>
      <c r="N38" s="1"/>
      <c r="O38" s="1"/>
      <c r="P38" s="1"/>
      <c r="Q38" s="1"/>
      <c r="R38" s="1"/>
      <c r="S38" s="1"/>
      <c r="T38" s="103"/>
      <c r="U38" s="567"/>
      <c r="V38" s="567"/>
      <c r="W38" s="104"/>
      <c r="X38" s="109"/>
      <c r="Y38" s="104"/>
    </row>
    <row r="39" spans="2:25" ht="15.6">
      <c r="B39" s="2"/>
      <c r="C39" s="2"/>
      <c r="E39" s="1"/>
      <c r="F39" s="3"/>
      <c r="G39" s="4"/>
      <c r="H39" s="5"/>
      <c r="I39" s="20"/>
      <c r="J39" s="20"/>
      <c r="K39" s="20"/>
      <c r="L39" s="1"/>
      <c r="M39" s="1"/>
      <c r="N39" s="1"/>
      <c r="O39" s="1"/>
      <c r="P39" s="1"/>
      <c r="Q39" s="1"/>
      <c r="R39" s="1"/>
      <c r="S39" s="1"/>
      <c r="T39" s="103"/>
      <c r="U39" s="104"/>
      <c r="V39" s="103"/>
      <c r="W39" s="109"/>
      <c r="X39" s="105"/>
      <c r="Y39" s="105"/>
    </row>
    <row r="40" spans="2:25" ht="15.6">
      <c r="B40" s="2"/>
      <c r="C40" s="2"/>
      <c r="E40" s="1"/>
      <c r="F40" s="3"/>
      <c r="G40" s="4"/>
      <c r="H40" s="5"/>
      <c r="I40" s="20"/>
      <c r="J40" s="20"/>
      <c r="K40" s="20"/>
      <c r="L40" s="1"/>
      <c r="M40" s="1"/>
      <c r="N40" s="1"/>
      <c r="O40" s="1"/>
      <c r="P40" s="1"/>
      <c r="Q40" s="1"/>
      <c r="R40" s="1"/>
      <c r="S40" s="1"/>
      <c r="T40" s="103"/>
      <c r="U40" s="104"/>
      <c r="V40" s="103"/>
      <c r="W40" s="109"/>
      <c r="X40" s="109"/>
      <c r="Y40" s="105"/>
    </row>
    <row r="41" spans="2:25" ht="15.6">
      <c r="B41" s="2"/>
      <c r="C41" s="2"/>
      <c r="E41" s="1"/>
      <c r="F41" s="3"/>
      <c r="G41" s="4"/>
      <c r="H41" s="5"/>
      <c r="I41" s="20"/>
      <c r="J41" s="20"/>
      <c r="K41" s="20"/>
      <c r="L41" s="1"/>
      <c r="M41" s="1"/>
      <c r="N41" s="1"/>
      <c r="O41" s="1"/>
      <c r="P41" s="1"/>
      <c r="Q41" s="1"/>
      <c r="R41" s="1"/>
      <c r="S41" s="1"/>
      <c r="T41" s="103"/>
      <c r="U41" s="104"/>
      <c r="V41" s="103"/>
      <c r="W41" s="109"/>
      <c r="X41" s="109"/>
      <c r="Y41" s="109"/>
    </row>
    <row r="42" spans="2:25" ht="15.6">
      <c r="B42" s="2"/>
      <c r="C42" s="2"/>
      <c r="D42" s="1"/>
      <c r="E42" s="1"/>
      <c r="F42" s="20"/>
      <c r="G42" s="20"/>
      <c r="H42" s="20"/>
      <c r="I42" s="20"/>
      <c r="J42" s="20"/>
      <c r="K42" s="20"/>
      <c r="L42" s="1"/>
      <c r="M42" s="1"/>
      <c r="N42" s="1"/>
      <c r="O42" s="1"/>
      <c r="P42" s="1"/>
      <c r="Q42" s="1"/>
      <c r="R42" s="1"/>
      <c r="S42" s="1"/>
      <c r="T42" s="103"/>
      <c r="U42" s="104"/>
      <c r="V42" s="103"/>
      <c r="W42" s="109"/>
      <c r="X42" s="105"/>
      <c r="Y42" s="105"/>
    </row>
    <row r="43" spans="2:25" ht="15.6">
      <c r="B43" s="2"/>
      <c r="C43" s="2"/>
      <c r="D43" s="1"/>
      <c r="E43" s="1"/>
      <c r="F43" s="20"/>
      <c r="G43" s="20"/>
      <c r="H43" s="20"/>
      <c r="I43" s="20"/>
      <c r="J43" s="20"/>
      <c r="K43" s="20"/>
      <c r="L43" s="1"/>
      <c r="M43" s="1"/>
      <c r="N43" s="1"/>
      <c r="O43" s="1"/>
      <c r="P43" s="1"/>
      <c r="Q43" s="1"/>
      <c r="R43" s="1"/>
      <c r="S43" s="1"/>
      <c r="T43" s="103"/>
      <c r="U43" s="104"/>
      <c r="V43" s="103"/>
      <c r="W43" s="109"/>
      <c r="X43" s="102"/>
      <c r="Y43" s="105"/>
    </row>
    <row r="44" spans="2:25" ht="15.6">
      <c r="B44" s="2"/>
      <c r="C44" s="2"/>
      <c r="D44" s="1"/>
      <c r="E44" s="1"/>
      <c r="F44" s="20"/>
      <c r="G44" s="20"/>
      <c r="H44" s="20"/>
      <c r="I44" s="20"/>
      <c r="J44" s="20"/>
      <c r="K44" s="20"/>
      <c r="L44" s="1"/>
      <c r="M44" s="1"/>
      <c r="N44" s="1"/>
      <c r="O44" s="1"/>
      <c r="P44" s="1"/>
      <c r="Q44" s="1"/>
      <c r="R44" s="1"/>
      <c r="S44" s="1"/>
      <c r="T44" s="103"/>
      <c r="U44" s="104"/>
      <c r="V44" s="103"/>
      <c r="W44" s="109"/>
      <c r="X44" s="105"/>
      <c r="Y44" s="102"/>
    </row>
    <row r="45" spans="2:25" ht="15.6">
      <c r="B45" s="2"/>
      <c r="C45" s="2"/>
      <c r="D45" s="1"/>
      <c r="E45" s="1"/>
      <c r="F45" s="20"/>
      <c r="G45" s="20"/>
      <c r="H45" s="20"/>
      <c r="I45" s="20"/>
      <c r="J45" s="20"/>
      <c r="K45" s="20"/>
      <c r="L45" s="1"/>
      <c r="M45" s="1"/>
      <c r="N45" s="1"/>
      <c r="O45" s="1"/>
      <c r="P45" s="1"/>
      <c r="Q45" s="1"/>
      <c r="R45" s="1"/>
      <c r="S45" s="1"/>
      <c r="T45" s="103"/>
      <c r="U45" s="104"/>
      <c r="V45" s="104"/>
      <c r="W45" s="102"/>
      <c r="X45" s="104"/>
      <c r="Y45" s="105"/>
    </row>
    <row r="46" spans="2:25" ht="15.6">
      <c r="B46" s="2"/>
      <c r="C46" s="2"/>
      <c r="D46" s="1"/>
      <c r="E46" s="1"/>
      <c r="F46" s="20"/>
      <c r="G46" s="20"/>
      <c r="H46" s="20"/>
      <c r="I46" s="20"/>
      <c r="J46" s="20"/>
      <c r="K46" s="20"/>
      <c r="L46" s="1"/>
      <c r="M46" s="1"/>
      <c r="N46" s="1"/>
      <c r="O46" s="1"/>
      <c r="P46" s="1"/>
      <c r="Q46" s="1"/>
      <c r="R46" s="1"/>
      <c r="S46" s="1"/>
      <c r="T46" s="103"/>
      <c r="U46" s="104"/>
      <c r="V46" s="103"/>
      <c r="W46" s="109"/>
      <c r="X46" s="104"/>
      <c r="Y46" s="104"/>
    </row>
    <row r="47" spans="2:25" ht="15.6">
      <c r="B47" s="2"/>
      <c r="C47" s="2"/>
      <c r="D47" s="1"/>
      <c r="E47" s="1"/>
      <c r="F47" s="20"/>
      <c r="G47" s="20"/>
      <c r="H47" s="20"/>
      <c r="I47" s="20"/>
      <c r="J47" s="20"/>
      <c r="K47" s="20"/>
      <c r="L47" s="1"/>
      <c r="M47" s="1"/>
      <c r="N47" s="1"/>
      <c r="O47" s="1"/>
      <c r="P47" s="1"/>
      <c r="Q47" s="1"/>
      <c r="R47" s="1"/>
      <c r="S47" s="1"/>
      <c r="T47" s="103"/>
      <c r="U47" s="104"/>
      <c r="V47" s="104"/>
      <c r="W47" s="104"/>
      <c r="X47" s="105"/>
      <c r="Y47" s="104"/>
    </row>
    <row r="48" spans="2:25" ht="15.6">
      <c r="B48" s="2"/>
      <c r="C48" s="2"/>
      <c r="D48" s="1"/>
      <c r="E48" s="1"/>
      <c r="F48" s="20"/>
      <c r="G48" s="20"/>
      <c r="H48" s="20"/>
      <c r="I48" s="20"/>
      <c r="J48" s="20"/>
      <c r="K48" s="20"/>
      <c r="L48" s="1"/>
      <c r="M48" s="1"/>
      <c r="N48" s="1"/>
      <c r="O48" s="1"/>
      <c r="P48" s="1"/>
      <c r="Q48" s="1"/>
      <c r="R48" s="1"/>
      <c r="S48" s="1"/>
      <c r="T48" s="103"/>
      <c r="U48" s="567"/>
      <c r="V48" s="567"/>
      <c r="W48" s="104"/>
      <c r="X48" s="105"/>
      <c r="Y48" s="105"/>
    </row>
    <row r="49" spans="2:25" ht="15.6">
      <c r="B49" s="2"/>
      <c r="C49" s="2"/>
      <c r="D49" s="1"/>
      <c r="E49" s="1"/>
      <c r="F49" s="20"/>
      <c r="G49" s="20"/>
      <c r="H49" s="20"/>
      <c r="I49" s="20"/>
      <c r="J49" s="20"/>
      <c r="K49" s="20"/>
      <c r="L49" s="1"/>
      <c r="M49" s="1"/>
      <c r="N49" s="1"/>
      <c r="O49" s="1"/>
      <c r="P49" s="1"/>
      <c r="Q49" s="1"/>
      <c r="R49" s="1"/>
      <c r="S49" s="1"/>
      <c r="T49" s="103"/>
      <c r="U49" s="104"/>
      <c r="V49" s="103"/>
      <c r="W49" s="109"/>
      <c r="X49" s="105"/>
      <c r="Y49" s="105"/>
    </row>
    <row r="50" spans="2:25" ht="15.6">
      <c r="B50" s="2"/>
      <c r="C50" s="2"/>
      <c r="D50" s="1"/>
      <c r="E50" s="1"/>
      <c r="F50" s="20"/>
      <c r="G50" s="20"/>
      <c r="H50" s="20"/>
      <c r="I50" s="20"/>
      <c r="J50" s="20"/>
      <c r="K50" s="20"/>
      <c r="L50" s="1"/>
      <c r="M50" s="1"/>
      <c r="N50" s="1"/>
      <c r="O50" s="1"/>
      <c r="P50" s="1"/>
      <c r="Q50" s="1"/>
      <c r="R50" s="1"/>
      <c r="S50" s="1"/>
      <c r="T50" s="103"/>
      <c r="U50" s="104"/>
      <c r="V50" s="103"/>
      <c r="W50" s="109"/>
      <c r="X50" s="109"/>
      <c r="Y50" s="105"/>
    </row>
    <row r="51" spans="2:25" ht="15.6">
      <c r="B51" s="2"/>
      <c r="C51" s="2"/>
      <c r="D51" s="1"/>
      <c r="E51" s="1"/>
      <c r="F51" s="20"/>
      <c r="G51" s="20"/>
      <c r="H51" s="20"/>
      <c r="I51" s="20"/>
      <c r="J51" s="20"/>
      <c r="K51" s="20"/>
      <c r="L51" s="1"/>
      <c r="M51" s="1"/>
      <c r="N51" s="1"/>
      <c r="O51" s="1"/>
      <c r="P51" s="1"/>
      <c r="Q51" s="1"/>
      <c r="R51" s="1"/>
      <c r="S51" s="1"/>
      <c r="T51" s="103"/>
      <c r="U51" s="104"/>
      <c r="V51" s="104"/>
      <c r="W51" s="102"/>
      <c r="X51" s="109"/>
      <c r="Y51" s="105"/>
    </row>
    <row r="52" spans="2:25" ht="15.6">
      <c r="B52" s="2"/>
      <c r="C52" s="2"/>
      <c r="D52" s="1"/>
      <c r="E52" s="1"/>
      <c r="F52" s="20"/>
      <c r="G52" s="20"/>
      <c r="H52" s="20"/>
      <c r="I52" s="20"/>
      <c r="J52" s="20"/>
      <c r="K52" s="20"/>
      <c r="L52" s="1"/>
      <c r="M52" s="1"/>
      <c r="N52" s="1"/>
      <c r="O52" s="1"/>
      <c r="P52" s="1"/>
      <c r="Q52" s="1"/>
      <c r="R52" s="1"/>
      <c r="S52" s="1"/>
      <c r="T52" s="103"/>
      <c r="U52" s="104"/>
      <c r="V52" s="103"/>
      <c r="W52" s="109"/>
      <c r="X52" s="105"/>
      <c r="Y52" s="105"/>
    </row>
    <row r="53" spans="2:25" ht="15.6">
      <c r="B53" s="2"/>
      <c r="C53" s="2"/>
      <c r="D53" s="1"/>
      <c r="E53" s="1"/>
      <c r="F53" s="20"/>
      <c r="G53" s="20"/>
      <c r="H53" s="20"/>
      <c r="I53" s="20"/>
      <c r="J53" s="20"/>
      <c r="K53" s="20"/>
      <c r="L53" s="1"/>
      <c r="M53" s="1"/>
      <c r="N53" s="1"/>
      <c r="O53" s="1"/>
      <c r="P53" s="1"/>
      <c r="Q53" s="1"/>
      <c r="R53" s="1"/>
      <c r="S53" s="1"/>
      <c r="T53" s="103"/>
      <c r="U53" s="104"/>
      <c r="V53" s="104"/>
      <c r="W53" s="104"/>
      <c r="X53" s="102"/>
      <c r="Y53" s="105"/>
    </row>
    <row r="54" spans="2:25" ht="15.6">
      <c r="B54" s="2"/>
      <c r="C54" s="2"/>
      <c r="D54" s="1"/>
      <c r="E54" s="1"/>
      <c r="F54" s="20"/>
      <c r="G54" s="20"/>
      <c r="H54" s="20"/>
      <c r="I54" s="20"/>
      <c r="J54" s="20"/>
      <c r="K54" s="20"/>
      <c r="L54" s="1"/>
      <c r="M54" s="1"/>
      <c r="N54" s="1"/>
      <c r="O54" s="1"/>
      <c r="P54" s="1"/>
      <c r="Q54" s="1"/>
      <c r="R54" s="1"/>
      <c r="S54" s="1"/>
      <c r="T54" s="103"/>
      <c r="U54" s="567"/>
      <c r="V54" s="567"/>
      <c r="W54" s="104"/>
      <c r="X54" s="105"/>
      <c r="Y54" s="102"/>
    </row>
    <row r="55" spans="2:25" ht="15.6">
      <c r="B55" s="1"/>
      <c r="C55" s="1"/>
      <c r="D55" s="1"/>
      <c r="E55" s="1"/>
      <c r="F55" s="20"/>
      <c r="G55" s="20"/>
      <c r="H55" s="20"/>
      <c r="I55" s="20"/>
      <c r="J55" s="20"/>
      <c r="K55" s="20"/>
      <c r="L55" s="1"/>
      <c r="M55" s="1"/>
      <c r="N55" s="1"/>
      <c r="O55" s="1"/>
      <c r="P55" s="1"/>
      <c r="Q55" s="1"/>
      <c r="R55" s="1"/>
      <c r="S55" s="1"/>
      <c r="T55" s="103"/>
      <c r="U55" s="104"/>
      <c r="V55" s="103"/>
      <c r="W55" s="109"/>
      <c r="X55" s="104"/>
      <c r="Y55" s="105"/>
    </row>
    <row r="56" spans="2:25" ht="15.6">
      <c r="B56" s="1"/>
      <c r="C56" s="1"/>
      <c r="D56" s="1"/>
      <c r="E56" s="1"/>
      <c r="F56" s="20"/>
      <c r="G56" s="20"/>
      <c r="H56" s="20"/>
      <c r="I56" s="20"/>
      <c r="J56" s="20"/>
      <c r="K56" s="20"/>
      <c r="L56" s="1"/>
      <c r="M56" s="1"/>
      <c r="N56" s="1"/>
      <c r="O56" s="1"/>
      <c r="P56" s="1"/>
      <c r="Q56" s="1"/>
      <c r="R56" s="1"/>
      <c r="S56" s="1"/>
      <c r="T56" s="103"/>
      <c r="U56" s="104"/>
      <c r="V56" s="103"/>
      <c r="W56" s="109"/>
      <c r="X56" s="104"/>
      <c r="Y56" s="104"/>
    </row>
    <row r="57" spans="2:25" ht="15.6">
      <c r="B57" s="1"/>
      <c r="C57" s="1"/>
      <c r="D57" s="1"/>
      <c r="E57" s="1"/>
      <c r="F57" s="20"/>
      <c r="G57" s="20"/>
      <c r="H57" s="20"/>
      <c r="I57" s="20"/>
      <c r="J57" s="20"/>
      <c r="K57" s="20"/>
      <c r="L57" s="1"/>
      <c r="M57" s="1"/>
      <c r="N57" s="1"/>
      <c r="O57" s="1"/>
      <c r="P57" s="1"/>
      <c r="Q57" s="1"/>
      <c r="R57" s="1"/>
      <c r="S57" s="1"/>
      <c r="T57" s="103"/>
      <c r="U57" s="104"/>
      <c r="V57" s="103"/>
      <c r="W57" s="105"/>
      <c r="X57" s="109"/>
      <c r="Y57" s="104"/>
    </row>
    <row r="58" spans="2:25" ht="15.6">
      <c r="B58" s="1"/>
      <c r="C58" s="1"/>
      <c r="D58" s="1"/>
      <c r="E58" s="1"/>
      <c r="F58" s="20"/>
      <c r="G58" s="20"/>
      <c r="H58" s="20"/>
      <c r="I58" s="20"/>
      <c r="J58" s="20"/>
      <c r="K58" s="20"/>
      <c r="L58" s="1"/>
      <c r="M58" s="1"/>
      <c r="N58" s="1"/>
      <c r="O58" s="1"/>
      <c r="P58" s="1"/>
      <c r="Q58" s="1"/>
      <c r="R58" s="1"/>
      <c r="S58" s="1"/>
      <c r="T58" s="103"/>
      <c r="U58" s="104"/>
      <c r="V58" s="103"/>
      <c r="W58" s="109"/>
      <c r="X58" s="109"/>
      <c r="Y58" s="105"/>
    </row>
    <row r="59" spans="2:25" ht="15.6">
      <c r="B59" s="1"/>
      <c r="C59" s="1"/>
      <c r="D59" s="1"/>
      <c r="E59" s="1"/>
      <c r="F59" s="20"/>
      <c r="G59" s="20"/>
      <c r="H59" s="20"/>
      <c r="I59" s="20"/>
      <c r="J59" s="20"/>
      <c r="K59" s="20"/>
      <c r="L59" s="1"/>
      <c r="M59" s="1"/>
      <c r="N59" s="1"/>
      <c r="O59" s="1"/>
      <c r="P59" s="1"/>
      <c r="Q59" s="1"/>
      <c r="R59" s="1"/>
      <c r="S59" s="1"/>
      <c r="T59" s="103"/>
      <c r="U59" s="104"/>
      <c r="V59" s="103"/>
      <c r="W59" s="109"/>
      <c r="X59" s="102"/>
      <c r="Y59" s="105"/>
    </row>
    <row r="60" spans="2:25" ht="15.6">
      <c r="B60" s="1"/>
      <c r="C60" s="1"/>
      <c r="D60" s="1"/>
      <c r="E60" s="1"/>
      <c r="F60" s="20"/>
      <c r="G60" s="20"/>
      <c r="H60" s="20"/>
      <c r="I60" s="20"/>
      <c r="J60" s="20"/>
      <c r="K60" s="20"/>
      <c r="L60" s="1"/>
      <c r="M60" s="1"/>
      <c r="N60" s="1"/>
      <c r="O60" s="1"/>
      <c r="P60" s="1"/>
      <c r="Q60" s="1"/>
      <c r="R60" s="1"/>
      <c r="S60" s="1"/>
      <c r="T60" s="103"/>
      <c r="U60" s="104"/>
      <c r="V60" s="104"/>
      <c r="W60" s="102"/>
      <c r="X60" s="109"/>
      <c r="Y60" s="102"/>
    </row>
    <row r="61" spans="2:25" ht="15.6">
      <c r="B61" s="1"/>
      <c r="C61" s="1"/>
      <c r="D61" s="1"/>
      <c r="E61" s="1"/>
      <c r="F61" s="20"/>
      <c r="G61" s="20"/>
      <c r="H61" s="20"/>
      <c r="I61" s="20"/>
      <c r="J61" s="20"/>
      <c r="K61" s="20"/>
      <c r="L61" s="1"/>
      <c r="M61" s="1"/>
      <c r="N61" s="1"/>
      <c r="O61" s="1"/>
      <c r="P61" s="1"/>
      <c r="Q61" s="1"/>
      <c r="R61" s="1"/>
      <c r="S61" s="1"/>
      <c r="T61" s="103"/>
      <c r="U61" s="104"/>
      <c r="V61" s="103"/>
      <c r="W61" s="105"/>
      <c r="X61" s="104"/>
      <c r="Y61" s="105"/>
    </row>
    <row r="62" spans="2:25" ht="15.6">
      <c r="B62" s="1"/>
      <c r="C62" s="1"/>
      <c r="D62" s="1"/>
      <c r="E62" s="1"/>
      <c r="F62" s="20"/>
      <c r="G62" s="20"/>
      <c r="H62" s="20"/>
      <c r="I62" s="20"/>
      <c r="J62" s="20"/>
      <c r="K62" s="20"/>
      <c r="L62" s="1"/>
      <c r="M62" s="1"/>
      <c r="N62" s="1"/>
      <c r="O62" s="1"/>
      <c r="P62" s="1"/>
      <c r="Q62" s="1"/>
      <c r="R62" s="1"/>
      <c r="S62" s="1"/>
      <c r="T62" s="103"/>
      <c r="U62" s="104"/>
      <c r="V62" s="104"/>
      <c r="W62" s="104"/>
      <c r="X62" s="104"/>
      <c r="Y62" s="104"/>
    </row>
    <row r="63" spans="2:25" ht="15.6">
      <c r="B63" s="1"/>
      <c r="C63" s="1"/>
      <c r="D63" s="1"/>
      <c r="E63" s="1"/>
      <c r="F63" s="20"/>
      <c r="G63" s="20"/>
      <c r="H63" s="20"/>
      <c r="I63" s="20"/>
      <c r="J63" s="20"/>
      <c r="K63" s="20"/>
      <c r="L63" s="1"/>
      <c r="M63" s="1"/>
      <c r="N63" s="1"/>
      <c r="O63" s="1"/>
      <c r="P63" s="1"/>
      <c r="Q63" s="1"/>
      <c r="R63" s="1"/>
      <c r="S63" s="1"/>
      <c r="T63" s="103"/>
      <c r="U63" s="104"/>
      <c r="V63" s="104"/>
      <c r="W63" s="104"/>
      <c r="X63" s="109"/>
      <c r="Y63" s="104"/>
    </row>
    <row r="64" spans="2:25" ht="15.6">
      <c r="B64" s="1"/>
      <c r="C64" s="1"/>
      <c r="D64" s="1"/>
      <c r="E64" s="1"/>
      <c r="F64" s="20"/>
      <c r="G64" s="20"/>
      <c r="H64" s="20"/>
      <c r="I64" s="20"/>
      <c r="J64" s="20"/>
      <c r="K64" s="20"/>
      <c r="L64" s="1"/>
      <c r="M64" s="1"/>
      <c r="N64" s="1"/>
      <c r="O64" s="1"/>
      <c r="P64" s="1"/>
      <c r="Q64" s="1"/>
      <c r="R64" s="1"/>
      <c r="S64" s="1"/>
      <c r="T64" s="103"/>
      <c r="U64" s="104"/>
      <c r="V64" s="103"/>
      <c r="W64" s="105"/>
      <c r="X64" s="109"/>
      <c r="Y64" s="105"/>
    </row>
    <row r="65" spans="2:25" ht="15.6">
      <c r="B65" s="1"/>
      <c r="C65" s="1"/>
      <c r="D65" s="1"/>
      <c r="E65" s="1"/>
      <c r="F65" s="20"/>
      <c r="G65" s="20"/>
      <c r="H65" s="20"/>
      <c r="I65" s="20"/>
      <c r="J65" s="20"/>
      <c r="K65" s="20"/>
      <c r="L65" s="1"/>
      <c r="M65" s="1"/>
      <c r="N65" s="1"/>
      <c r="O65" s="1"/>
      <c r="P65" s="1"/>
      <c r="Q65" s="1"/>
      <c r="R65" s="1"/>
      <c r="S65" s="1"/>
      <c r="T65" s="103"/>
      <c r="U65" s="104"/>
      <c r="V65" s="104"/>
      <c r="W65" s="102"/>
      <c r="X65" s="109"/>
      <c r="Y65" s="105"/>
    </row>
    <row r="66" spans="2:25" ht="15.6">
      <c r="B66" s="1"/>
      <c r="C66" s="1"/>
      <c r="D66" s="1"/>
      <c r="E66" s="1"/>
      <c r="F66" s="20"/>
      <c r="G66" s="20"/>
      <c r="H66" s="20"/>
      <c r="I66" s="20"/>
      <c r="J66" s="20"/>
      <c r="K66" s="20"/>
      <c r="L66" s="1"/>
      <c r="M66" s="1"/>
      <c r="N66" s="1"/>
      <c r="O66" s="1"/>
      <c r="P66" s="1"/>
      <c r="Q66" s="1"/>
      <c r="R66" s="1"/>
      <c r="S66" s="1"/>
      <c r="T66" s="103"/>
      <c r="U66" s="567"/>
      <c r="V66" s="567"/>
      <c r="W66" s="104"/>
      <c r="X66" s="109"/>
      <c r="Y66" s="105"/>
    </row>
    <row r="67" spans="2:25" ht="15.6">
      <c r="B67" s="1"/>
      <c r="C67" s="1"/>
      <c r="D67" s="1"/>
      <c r="E67" s="1"/>
      <c r="F67" s="20"/>
      <c r="G67" s="20"/>
      <c r="H67" s="20"/>
      <c r="I67" s="20"/>
      <c r="J67" s="20"/>
      <c r="K67" s="20"/>
      <c r="L67" s="1"/>
      <c r="M67" s="1"/>
      <c r="N67" s="1"/>
      <c r="O67" s="1"/>
      <c r="P67" s="1"/>
      <c r="Q67" s="1"/>
      <c r="R67" s="1"/>
      <c r="S67" s="1"/>
      <c r="T67" s="103"/>
      <c r="U67" s="104"/>
      <c r="V67" s="104"/>
      <c r="W67" s="104"/>
      <c r="X67" s="109"/>
      <c r="Y67" s="109"/>
    </row>
    <row r="68" spans="2:25" ht="15.6">
      <c r="B68" s="1"/>
      <c r="C68" s="1"/>
      <c r="D68" s="1"/>
      <c r="E68" s="1"/>
      <c r="F68" s="20"/>
      <c r="G68" s="20"/>
      <c r="H68" s="20"/>
      <c r="I68" s="20"/>
      <c r="J68" s="20"/>
      <c r="K68" s="20"/>
      <c r="L68" s="1"/>
      <c r="M68" s="1"/>
      <c r="N68" s="1"/>
      <c r="O68" s="1"/>
      <c r="P68" s="1"/>
      <c r="Q68" s="1"/>
      <c r="R68" s="1"/>
      <c r="S68" s="1"/>
      <c r="T68" s="103"/>
      <c r="U68" s="104"/>
      <c r="V68" s="103"/>
      <c r="W68" s="104"/>
      <c r="X68" s="102"/>
      <c r="Y68" s="109"/>
    </row>
    <row r="69" spans="2:25" ht="15.6">
      <c r="B69" s="1"/>
      <c r="C69" s="1"/>
      <c r="D69" s="1"/>
      <c r="E69" s="1"/>
      <c r="F69" s="20"/>
      <c r="G69" s="20"/>
      <c r="H69" s="20"/>
      <c r="I69" s="20"/>
      <c r="J69" s="20"/>
      <c r="K69" s="20"/>
      <c r="L69" s="1"/>
      <c r="M69" s="1"/>
      <c r="N69" s="1"/>
      <c r="O69" s="1"/>
      <c r="P69" s="1"/>
      <c r="Q69" s="1"/>
      <c r="R69" s="1"/>
      <c r="S69" s="1"/>
      <c r="T69" s="103"/>
      <c r="U69" s="104"/>
      <c r="V69" s="104"/>
      <c r="W69" s="102"/>
      <c r="X69" s="109"/>
      <c r="Y69" s="102"/>
    </row>
    <row r="70" spans="2:25" ht="15.6">
      <c r="B70" s="1"/>
      <c r="C70" s="1"/>
      <c r="D70" s="1"/>
      <c r="E70" s="1"/>
      <c r="F70" s="20"/>
      <c r="G70" s="20"/>
      <c r="H70" s="20"/>
      <c r="I70" s="20"/>
      <c r="J70" s="20"/>
      <c r="K70" s="20"/>
      <c r="L70" s="1"/>
      <c r="M70" s="1"/>
      <c r="N70" s="1"/>
      <c r="O70" s="1"/>
      <c r="P70" s="1"/>
      <c r="Q70" s="1"/>
      <c r="R70" s="1"/>
      <c r="S70" s="1"/>
      <c r="T70" s="103"/>
      <c r="U70" s="104"/>
      <c r="V70" s="103"/>
      <c r="W70" s="104"/>
      <c r="X70" s="104"/>
      <c r="Y70" s="105"/>
    </row>
    <row r="71" spans="2:25" ht="15.6">
      <c r="B71" s="1"/>
      <c r="C71" s="1"/>
      <c r="D71" s="1"/>
      <c r="E71" s="1"/>
      <c r="F71" s="20"/>
      <c r="G71" s="20"/>
      <c r="H71" s="20"/>
      <c r="I71" s="20"/>
      <c r="J71" s="20"/>
      <c r="K71" s="20"/>
      <c r="L71" s="1"/>
      <c r="M71" s="1"/>
      <c r="N71" s="1"/>
      <c r="O71" s="1"/>
      <c r="P71" s="1"/>
      <c r="Q71" s="1"/>
      <c r="R71" s="1"/>
      <c r="S71" s="1"/>
      <c r="T71" s="103"/>
      <c r="U71" s="104"/>
      <c r="V71" s="104"/>
      <c r="W71" s="104"/>
      <c r="X71" s="104"/>
      <c r="Y71" s="104"/>
    </row>
    <row r="72" spans="2:25" ht="15.6">
      <c r="B72" s="1"/>
      <c r="C72" s="1"/>
      <c r="D72" s="1"/>
      <c r="E72" s="1"/>
      <c r="F72" s="20"/>
      <c r="G72" s="20"/>
      <c r="H72" s="20"/>
      <c r="I72" s="20"/>
      <c r="J72" s="20"/>
      <c r="K72" s="20"/>
      <c r="L72" s="1"/>
      <c r="M72" s="1"/>
      <c r="N72" s="1"/>
      <c r="O72" s="1"/>
      <c r="P72" s="1"/>
      <c r="Q72" s="1"/>
      <c r="R72" s="1"/>
      <c r="S72" s="1"/>
      <c r="T72" s="103"/>
      <c r="U72" s="104"/>
      <c r="V72" s="104"/>
      <c r="W72" s="102"/>
      <c r="X72" s="105"/>
      <c r="Y72" s="104"/>
    </row>
    <row r="73" spans="2:25" ht="15.6">
      <c r="B73" s="1"/>
      <c r="C73" s="1"/>
      <c r="D73" s="1"/>
      <c r="E73" s="1"/>
      <c r="F73" s="20"/>
      <c r="G73" s="20"/>
      <c r="H73" s="20"/>
      <c r="I73" s="20"/>
      <c r="J73" s="20"/>
      <c r="K73" s="20"/>
      <c r="L73" s="1"/>
      <c r="M73" s="1"/>
      <c r="N73" s="1"/>
      <c r="O73" s="1"/>
      <c r="P73" s="1"/>
      <c r="Q73" s="1"/>
      <c r="R73" s="1"/>
      <c r="S73" s="1"/>
      <c r="T73" s="103"/>
      <c r="U73" s="567"/>
      <c r="V73" s="567"/>
      <c r="W73" s="105"/>
      <c r="X73" s="102"/>
      <c r="Y73" s="105"/>
    </row>
    <row r="74" spans="2:25" ht="15.6">
      <c r="B74" s="1"/>
      <c r="C74" s="1"/>
      <c r="D74" s="1"/>
      <c r="E74" s="1"/>
      <c r="F74" s="20"/>
      <c r="G74" s="20"/>
      <c r="H74" s="20"/>
      <c r="I74" s="20"/>
      <c r="J74" s="20"/>
      <c r="K74" s="2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4"/>
      <c r="Y74" s="102"/>
    </row>
    <row r="75" spans="2:25" ht="15.6">
      <c r="B75" s="1"/>
      <c r="C75" s="1"/>
      <c r="D75" s="1"/>
      <c r="X75" s="104"/>
      <c r="Y75" s="104"/>
    </row>
    <row r="76" spans="2:25" ht="15.6">
      <c r="B76" s="1"/>
      <c r="C76" s="1"/>
      <c r="D76" s="1"/>
      <c r="X76" s="104"/>
      <c r="Y76" s="104"/>
    </row>
    <row r="77" spans="2:25" ht="15.6">
      <c r="B77" s="1"/>
      <c r="C77" s="1"/>
      <c r="D77" s="1"/>
      <c r="X77" s="102"/>
      <c r="Y77" s="104"/>
    </row>
    <row r="78" spans="2:25" ht="15.6">
      <c r="B78" s="1"/>
      <c r="C78" s="1"/>
      <c r="D78" s="1"/>
      <c r="X78" s="104"/>
      <c r="Y78" s="102"/>
    </row>
    <row r="79" spans="2:25" ht="15.6">
      <c r="B79" s="1"/>
      <c r="C79" s="1"/>
      <c r="D79" s="1"/>
      <c r="X79" s="104"/>
      <c r="Y79" s="104"/>
    </row>
    <row r="80" spans="2:25" ht="15.6">
      <c r="B80" s="1"/>
      <c r="C80" s="1"/>
      <c r="D80" s="1"/>
      <c r="X80" s="102"/>
      <c r="Y80" s="104"/>
    </row>
    <row r="81" spans="2:25" ht="15.6">
      <c r="B81" s="1"/>
      <c r="C81" s="1"/>
      <c r="D81" s="1"/>
      <c r="X81" s="105"/>
      <c r="Y81" s="102"/>
    </row>
    <row r="82" spans="2:25" ht="15.6">
      <c r="B82" s="1"/>
      <c r="C82" s="1"/>
      <c r="D82" s="1"/>
      <c r="X82" s="1"/>
      <c r="Y82" s="105"/>
    </row>
    <row r="83" spans="2:25" ht="15.6">
      <c r="B83" s="1"/>
      <c r="C83" s="1"/>
      <c r="D83" s="1"/>
      <c r="Y83" s="1"/>
    </row>
  </sheetData>
  <mergeCells count="18">
    <mergeCell ref="W28:X28"/>
    <mergeCell ref="Y28:Z28"/>
    <mergeCell ref="G4:T4"/>
    <mergeCell ref="C22:E22"/>
    <mergeCell ref="U66:V66"/>
    <mergeCell ref="U18:V18"/>
    <mergeCell ref="W18:X18"/>
    <mergeCell ref="U17:V17"/>
    <mergeCell ref="W17:X17"/>
    <mergeCell ref="G18:T18"/>
    <mergeCell ref="G8:T8"/>
    <mergeCell ref="U73:V73"/>
    <mergeCell ref="F27:I27"/>
    <mergeCell ref="P27:T27"/>
    <mergeCell ref="C32:E32"/>
    <mergeCell ref="U38:V38"/>
    <mergeCell ref="U48:V48"/>
    <mergeCell ref="U54:V5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EBC01-342E-4F6B-9164-F0157642FF95}">
  <sheetPr>
    <tabColor rgb="FF92D050"/>
  </sheetPr>
  <dimension ref="A1:AE40"/>
  <sheetViews>
    <sheetView zoomScale="80" zoomScaleNormal="80" workbookViewId="0"/>
  </sheetViews>
  <sheetFormatPr defaultColWidth="8.88671875" defaultRowHeight="14.4"/>
  <cols>
    <col min="1" max="1" width="7.44140625" style="6" customWidth="1"/>
    <col min="2" max="2" width="14.44140625" style="6" customWidth="1"/>
    <col min="3" max="3" width="15.6640625" style="6" customWidth="1"/>
    <col min="4" max="4" width="16.109375" style="6" customWidth="1"/>
    <col min="5" max="5" width="18" style="6" bestFit="1" customWidth="1"/>
    <col min="6" max="6" width="16.44140625" style="6" customWidth="1"/>
    <col min="7" max="7" width="17.33203125" style="6" customWidth="1"/>
    <col min="8" max="8" width="18" style="6" customWidth="1"/>
    <col min="9" max="10" width="15.5546875" style="6" customWidth="1"/>
    <col min="11" max="11" width="15" style="6" bestFit="1" customWidth="1"/>
    <col min="12" max="14" width="15.5546875" style="6" customWidth="1"/>
    <col min="15" max="15" width="18.6640625" style="6" customWidth="1"/>
    <col min="16" max="17" width="15.5546875" style="6" customWidth="1"/>
    <col min="18" max="18" width="15" style="6" customWidth="1"/>
    <col min="19" max="19" width="14" style="6" customWidth="1"/>
    <col min="20" max="20" width="15.5546875" style="6" customWidth="1"/>
    <col min="21" max="21" width="16.5546875" style="6" customWidth="1"/>
    <col min="22" max="23" width="14" style="6" customWidth="1"/>
    <col min="24" max="24" width="37.6640625" style="6" customWidth="1"/>
    <col min="25" max="25" width="14.88671875" style="6" bestFit="1" customWidth="1"/>
    <col min="26" max="26" width="12.88671875" style="6" customWidth="1"/>
    <col min="27" max="27" width="14.6640625" style="6" customWidth="1"/>
    <col min="28" max="28" width="8.88671875" style="6"/>
    <col min="29" max="31" width="16.33203125" style="6" customWidth="1"/>
    <col min="32" max="16384" width="8.88671875" style="6"/>
  </cols>
  <sheetData>
    <row r="1" spans="1:31" s="171" customFormat="1" ht="25.5" customHeight="1">
      <c r="A1" s="4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</row>
    <row r="2" spans="1:31">
      <c r="A2" s="87"/>
      <c r="B2" s="582"/>
      <c r="C2" s="582"/>
      <c r="D2" s="582"/>
      <c r="F2" s="87"/>
    </row>
    <row r="3" spans="1:31">
      <c r="E3" s="583" t="s">
        <v>397</v>
      </c>
      <c r="F3" s="583"/>
      <c r="G3" s="583"/>
      <c r="H3" s="583"/>
      <c r="I3" s="583"/>
      <c r="J3" s="254"/>
      <c r="K3" s="254"/>
      <c r="M3" s="110"/>
      <c r="N3" s="110"/>
      <c r="O3" s="110"/>
      <c r="P3" s="345"/>
      <c r="Q3" s="345"/>
      <c r="R3" s="345"/>
      <c r="S3" s="345"/>
      <c r="T3" s="345"/>
      <c r="U3" s="254"/>
      <c r="V3" s="254"/>
    </row>
    <row r="4" spans="1:31" ht="15.75" customHeight="1">
      <c r="D4" s="1"/>
      <c r="E4" s="148">
        <f>'Res Bill Impact'!E4</f>
        <v>2025</v>
      </c>
      <c r="F4" s="178">
        <f>'Res Bill Impact'!F4</f>
        <v>45931</v>
      </c>
      <c r="G4" s="178">
        <f>'Res Bill Impact'!G4</f>
        <v>45931</v>
      </c>
      <c r="H4" s="111" t="s">
        <v>178</v>
      </c>
      <c r="I4" s="111" t="s">
        <v>178</v>
      </c>
      <c r="J4" s="111"/>
      <c r="K4" s="111"/>
      <c r="L4" s="20"/>
      <c r="O4" s="1"/>
      <c r="P4" s="148"/>
      <c r="Q4" s="178"/>
      <c r="R4" s="178"/>
      <c r="S4" s="111"/>
      <c r="T4" s="111"/>
      <c r="U4" s="111"/>
      <c r="V4" s="111"/>
    </row>
    <row r="5" spans="1:31" ht="30.75" customHeight="1">
      <c r="D5" s="1"/>
      <c r="E5" s="111" t="s">
        <v>130</v>
      </c>
      <c r="F5" s="111" t="s">
        <v>179</v>
      </c>
      <c r="G5" s="111" t="s">
        <v>180</v>
      </c>
      <c r="H5" s="111" t="s">
        <v>179</v>
      </c>
      <c r="I5" s="111" t="s">
        <v>180</v>
      </c>
      <c r="J5" s="111"/>
      <c r="K5" s="111"/>
      <c r="L5" s="83"/>
      <c r="M5" s="112"/>
      <c r="N5" s="112"/>
      <c r="O5" s="83"/>
      <c r="P5" s="111"/>
      <c r="Q5" s="111"/>
      <c r="R5" s="111"/>
      <c r="S5" s="111"/>
      <c r="T5" s="111"/>
      <c r="U5" s="111"/>
      <c r="V5" s="111"/>
      <c r="AD5" s="47"/>
      <c r="AE5" s="47"/>
    </row>
    <row r="6" spans="1:31" ht="42" customHeight="1">
      <c r="B6" s="113"/>
      <c r="D6" s="113"/>
      <c r="E6" s="1"/>
      <c r="F6" s="1"/>
      <c r="G6" s="1"/>
      <c r="J6" s="20"/>
      <c r="K6" s="20"/>
      <c r="L6" s="20"/>
      <c r="O6" s="113"/>
      <c r="P6" s="1"/>
      <c r="Q6" s="1"/>
      <c r="R6" s="1"/>
      <c r="U6" s="20"/>
      <c r="V6" s="20"/>
      <c r="Y6" s="273" t="s">
        <v>113</v>
      </c>
      <c r="Z6" s="273" t="s">
        <v>329</v>
      </c>
      <c r="AA6" s="273" t="s">
        <v>3</v>
      </c>
      <c r="AC6" s="112"/>
      <c r="AD6" s="112"/>
      <c r="AE6" s="112"/>
    </row>
    <row r="7" spans="1:31" ht="15.6">
      <c r="D7" s="114" t="s">
        <v>398</v>
      </c>
      <c r="E7" s="250">
        <f>'Bill Impact (TOU-A)'!E7</f>
        <v>151217892.9594312</v>
      </c>
      <c r="F7" s="115">
        <f>'Bill Impact (TOU-A)'!F7</f>
        <v>0.53845999999999994</v>
      </c>
      <c r="G7" s="116">
        <f>F7*E7</f>
        <v>81424786.642935321</v>
      </c>
      <c r="H7" s="173">
        <f>F7+(F7*$AD$12)</f>
        <v>0.53845999999999994</v>
      </c>
      <c r="I7" s="116">
        <f>E7*H7</f>
        <v>81424786.642935321</v>
      </c>
      <c r="J7" s="173"/>
      <c r="K7" s="278"/>
      <c r="L7" s="117"/>
      <c r="O7" s="114"/>
      <c r="P7" s="348"/>
      <c r="Q7" s="121"/>
      <c r="R7" s="349"/>
      <c r="S7" s="173"/>
      <c r="T7" s="349"/>
      <c r="U7" s="173"/>
      <c r="V7" s="278"/>
      <c r="W7" s="117"/>
      <c r="X7" s="6" t="s">
        <v>399</v>
      </c>
      <c r="AC7" s="321"/>
      <c r="AD7" s="284"/>
      <c r="AE7" s="284"/>
    </row>
    <row r="8" spans="1:31" ht="15.6">
      <c r="D8" s="118"/>
      <c r="E8" s="250"/>
      <c r="F8" s="115"/>
      <c r="G8" s="116"/>
      <c r="H8" s="173"/>
      <c r="I8" s="116"/>
      <c r="J8" s="173"/>
      <c r="K8" s="278"/>
      <c r="L8" s="117"/>
      <c r="O8" s="118"/>
      <c r="P8" s="348"/>
      <c r="Q8" s="121"/>
      <c r="R8" s="349"/>
      <c r="S8" s="173"/>
      <c r="T8" s="349"/>
      <c r="U8" s="173"/>
      <c r="V8" s="278"/>
      <c r="W8" s="117"/>
      <c r="X8" s="6" t="s">
        <v>188</v>
      </c>
      <c r="Y8" s="119">
        <f>'Bill Impact (TOU-A)'!Y8</f>
        <v>660240887</v>
      </c>
      <c r="Z8" s="119">
        <f>'Bill Impact (TOU-A)'!Z8</f>
        <v>592506653</v>
      </c>
      <c r="AA8" s="119">
        <f>'Bill Impact (TOU-A)'!AA8</f>
        <v>67734234</v>
      </c>
    </row>
    <row r="9" spans="1:31" ht="15.6">
      <c r="D9" s="114" t="s">
        <v>400</v>
      </c>
      <c r="E9" s="250">
        <f>'Bill Impact (TOU-A)'!E9</f>
        <v>503808161.5971247</v>
      </c>
      <c r="F9" s="115">
        <f>'Bill Impact (TOU-A)'!F9</f>
        <v>0.41020000000000001</v>
      </c>
      <c r="G9" s="116">
        <f>F9*E9</f>
        <v>206662107.88714054</v>
      </c>
      <c r="H9" s="173">
        <f>F9+(F9*$AD$12)</f>
        <v>0.41020000000000001</v>
      </c>
      <c r="I9" s="116">
        <f>E9*H9</f>
        <v>206662107.88714054</v>
      </c>
      <c r="J9" s="173"/>
      <c r="K9" s="278"/>
      <c r="L9" s="117"/>
      <c r="O9" s="114"/>
      <c r="P9" s="348"/>
      <c r="Q9" s="121"/>
      <c r="R9" s="349"/>
      <c r="S9" s="173"/>
      <c r="T9" s="349"/>
      <c r="U9" s="173"/>
      <c r="V9" s="278"/>
      <c r="W9" s="117"/>
      <c r="X9" s="6" t="s">
        <v>267</v>
      </c>
      <c r="Y9" s="203">
        <f>('Hypoth. SAR and RAR (TOU-A)'!U20+'Hypoth. SAR and RAR (TOU-A)'!W20)*1000</f>
        <v>0</v>
      </c>
      <c r="Z9" s="203">
        <f>('Hypoth. SAR and RAR (TOU-A)'!U20)*1000</f>
        <v>0</v>
      </c>
      <c r="AA9" s="172">
        <f>('Hypoth. SAR and RAR (TOU-A)'!W20)*1000</f>
        <v>0</v>
      </c>
      <c r="AB9" s="345"/>
    </row>
    <row r="10" spans="1:31" ht="15.6">
      <c r="D10" s="118"/>
      <c r="E10" s="250"/>
      <c r="F10" s="115"/>
      <c r="G10" s="116"/>
      <c r="H10" s="173"/>
      <c r="I10" s="116"/>
      <c r="J10" s="173"/>
      <c r="K10" s="278"/>
      <c r="L10" s="117"/>
      <c r="O10" s="118"/>
      <c r="P10" s="348"/>
      <c r="Q10" s="121"/>
      <c r="R10" s="349"/>
      <c r="S10" s="173"/>
      <c r="T10" s="349"/>
      <c r="U10" s="173"/>
      <c r="V10" s="278"/>
      <c r="W10" s="117"/>
      <c r="X10" s="6" t="s">
        <v>268</v>
      </c>
      <c r="Y10" s="119">
        <f>Y8+Y9</f>
        <v>660240887</v>
      </c>
      <c r="Z10" s="119">
        <f>Z8+Z9</f>
        <v>592506653</v>
      </c>
      <c r="AA10" s="119">
        <f>AA8+AA9</f>
        <v>67734234</v>
      </c>
      <c r="AD10" s="47" t="s">
        <v>331</v>
      </c>
      <c r="AE10" s="47"/>
    </row>
    <row r="11" spans="1:31" ht="15.6">
      <c r="D11" s="114" t="s">
        <v>401</v>
      </c>
      <c r="E11" s="250">
        <f>'Bill Impact (TOU-A)'!E11</f>
        <v>183390340.97276723</v>
      </c>
      <c r="F11" s="115">
        <f>'Bill Impact (TOU-A)'!F11</f>
        <v>0.42063</v>
      </c>
      <c r="G11" s="116">
        <f>F11*E11</f>
        <v>77139479.123375088</v>
      </c>
      <c r="H11" s="173">
        <f>F11+(F11*$AD$12)</f>
        <v>0.42063</v>
      </c>
      <c r="I11" s="116">
        <f>E11*H11</f>
        <v>77139479.123375088</v>
      </c>
      <c r="J11" s="173"/>
      <c r="K11" s="278"/>
      <c r="L11" s="117"/>
      <c r="O11" s="114"/>
      <c r="P11" s="348"/>
      <c r="Q11" s="121"/>
      <c r="R11" s="349"/>
      <c r="S11" s="173"/>
      <c r="T11" s="349"/>
      <c r="U11" s="173"/>
      <c r="V11" s="278"/>
      <c r="W11" s="117"/>
      <c r="Y11" s="119"/>
      <c r="AC11" s="133" t="s">
        <v>330</v>
      </c>
      <c r="AD11" s="273" t="s">
        <v>332</v>
      </c>
      <c r="AE11" s="47"/>
    </row>
    <row r="12" spans="1:31" ht="15.6">
      <c r="D12" s="118"/>
      <c r="E12" s="250"/>
      <c r="F12" s="115"/>
      <c r="G12" s="116"/>
      <c r="H12" s="173"/>
      <c r="I12" s="116"/>
      <c r="J12" s="173"/>
      <c r="K12" s="278"/>
      <c r="L12" s="117"/>
      <c r="O12" s="118"/>
      <c r="P12" s="348"/>
      <c r="Q12" s="121"/>
      <c r="R12" s="349"/>
      <c r="S12" s="173"/>
      <c r="T12" s="349"/>
      <c r="U12" s="173"/>
      <c r="V12" s="278"/>
      <c r="W12" s="117"/>
      <c r="X12" s="6" t="s">
        <v>403</v>
      </c>
      <c r="Y12" s="273" t="s">
        <v>113</v>
      </c>
      <c r="Z12" s="273" t="s">
        <v>329</v>
      </c>
      <c r="AA12" s="273" t="s">
        <v>3</v>
      </c>
      <c r="AC12" s="6">
        <f>'Bill Impact (TOU-A)'!AC16</f>
        <v>0.37834000000000001</v>
      </c>
      <c r="AD12" s="167">
        <f>Y14/100/AC12</f>
        <v>0</v>
      </c>
      <c r="AE12" s="281"/>
    </row>
    <row r="13" spans="1:31" ht="15.6">
      <c r="D13" s="114" t="s">
        <v>402</v>
      </c>
      <c r="E13" s="250">
        <f>'Bill Impact (TOU-A)'!E13</f>
        <v>625200544.57601118</v>
      </c>
      <c r="F13" s="115">
        <f>'Bill Impact (TOU-A)'!F13</f>
        <v>0.33616000000000001</v>
      </c>
      <c r="G13" s="116">
        <f>F13*E13</f>
        <v>210167415.06467193</v>
      </c>
      <c r="H13" s="173">
        <f>F13+(F13*$AD$12)</f>
        <v>0.33616000000000001</v>
      </c>
      <c r="I13" s="116">
        <f>E13*H13</f>
        <v>210167415.06467193</v>
      </c>
      <c r="J13" s="1"/>
      <c r="K13" s="123"/>
      <c r="L13" s="117"/>
      <c r="O13" s="118"/>
      <c r="P13" s="122"/>
      <c r="Q13" s="121"/>
      <c r="R13" s="122"/>
      <c r="S13" s="1"/>
      <c r="T13" s="123"/>
      <c r="U13" s="1"/>
      <c r="V13" s="123"/>
      <c r="X13" s="6" t="s">
        <v>375</v>
      </c>
      <c r="Y13" s="317">
        <f>+Z13+AA13</f>
        <v>37.834000000000003</v>
      </c>
      <c r="Z13" s="317">
        <f>'Bill Impact (TOU-A)'!Z15</f>
        <v>24.356000000000002</v>
      </c>
      <c r="AA13" s="317">
        <f>'Bill Impact (TOU-A)'!AA15</f>
        <v>13.478</v>
      </c>
      <c r="AC13" s="280"/>
      <c r="AD13" s="98"/>
      <c r="AE13" s="274"/>
    </row>
    <row r="14" spans="1:31" ht="15.6">
      <c r="D14" s="118"/>
      <c r="E14" s="250"/>
      <c r="F14" s="115"/>
      <c r="G14" s="116"/>
      <c r="H14" s="173"/>
      <c r="I14" s="116"/>
      <c r="J14" s="122"/>
      <c r="K14" s="122"/>
      <c r="L14" s="117"/>
      <c r="O14" s="118"/>
      <c r="P14" s="122"/>
      <c r="Q14" s="121"/>
      <c r="R14" s="122"/>
      <c r="S14" s="122"/>
      <c r="T14" s="122"/>
      <c r="U14" s="122"/>
      <c r="V14" s="122"/>
      <c r="X14" s="6" t="s">
        <v>267</v>
      </c>
      <c r="Y14" s="317">
        <f>+Z14+AA14</f>
        <v>0</v>
      </c>
      <c r="Z14" s="317">
        <f>+Z9/(IF('Hypothetical Summary'!$H$3,'Hypoth. SAR and RAR (TOU-A)'!$C$24,'Hypoth. SAR and RAR (TOU-A)'!$C$34)*1000)*100</f>
        <v>0</v>
      </c>
      <c r="AA14" s="317">
        <f>+AA9/(IF('Hypothetical Summary'!$H$3=2025,'Hypoth. SAR and RAR (TOU-A)'!$E$24,'Hypoth. SAR and RAR (TOU-A)'!$E$34)*1000)*100</f>
        <v>0</v>
      </c>
      <c r="AD14" s="47"/>
      <c r="AE14" s="47"/>
    </row>
    <row r="15" spans="1:31" ht="15.6">
      <c r="D15" s="118"/>
      <c r="E15" s="120"/>
      <c r="F15" s="121"/>
      <c r="G15" s="122"/>
      <c r="H15" s="122"/>
      <c r="I15" s="122"/>
      <c r="J15" s="122"/>
      <c r="K15" s="122"/>
      <c r="L15" s="117"/>
      <c r="O15" s="124"/>
      <c r="P15" s="122"/>
      <c r="Q15" s="121"/>
      <c r="R15" s="122"/>
      <c r="S15" s="122"/>
      <c r="T15" s="122"/>
      <c r="U15" s="122"/>
      <c r="V15" s="122"/>
      <c r="X15" s="6" t="s">
        <v>268</v>
      </c>
      <c r="Y15" s="317">
        <f>+Y14+Y13</f>
        <v>37.834000000000003</v>
      </c>
      <c r="Z15" s="317">
        <f>+Z14+Z13</f>
        <v>24.356000000000002</v>
      </c>
      <c r="AA15" s="317">
        <f>+AA14+AA13</f>
        <v>13.478</v>
      </c>
      <c r="AC15" s="47"/>
      <c r="AD15" s="47"/>
      <c r="AE15" s="47"/>
    </row>
    <row r="16" spans="1:31" ht="15.6">
      <c r="P16" s="122"/>
      <c r="Q16" s="121"/>
      <c r="R16" s="122"/>
      <c r="AC16" s="276"/>
      <c r="AD16" s="275"/>
      <c r="AE16" s="276"/>
    </row>
    <row r="17" spans="1:31" ht="15.6">
      <c r="O17" s="125"/>
      <c r="R17" s="122"/>
      <c r="Y17" s="47"/>
      <c r="Z17" s="315"/>
      <c r="AA17" s="315"/>
    </row>
    <row r="18" spans="1:31" ht="15.6">
      <c r="Y18" s="47"/>
      <c r="Z18" s="315"/>
      <c r="AA18" s="315"/>
    </row>
    <row r="19" spans="1:31">
      <c r="B19" s="7"/>
      <c r="AD19" s="47"/>
      <c r="AE19" s="47"/>
    </row>
    <row r="20" spans="1:31">
      <c r="B20" s="660" t="s">
        <v>404</v>
      </c>
      <c r="C20" s="126"/>
      <c r="E20" s="127"/>
      <c r="F20" s="127"/>
      <c r="H20" s="126"/>
      <c r="I20" s="6" t="str">
        <f>'Bill Impact (TOU-A)'!I20</f>
        <v>2024 Recorded Data</v>
      </c>
      <c r="P20" s="381"/>
      <c r="Q20" s="382"/>
      <c r="R20" s="382"/>
      <c r="S20" s="382"/>
      <c r="T20" s="382"/>
      <c r="U20" s="587"/>
      <c r="V20" s="587"/>
      <c r="AD20" s="47"/>
      <c r="AE20" s="47"/>
    </row>
    <row r="21" spans="1:31">
      <c r="B21" s="130" t="s">
        <v>179</v>
      </c>
      <c r="C21" s="131" t="str">
        <f>'Res Bill Impact'!C21</f>
        <v>6/1/2025</v>
      </c>
      <c r="D21" s="344" t="str">
        <f>'Res Bill Impact'!D21</f>
        <v>10/1/25</v>
      </c>
      <c r="E21" s="132" t="s">
        <v>178</v>
      </c>
      <c r="F21" s="127"/>
      <c r="I21" s="128" t="s">
        <v>405</v>
      </c>
      <c r="J21" s="589" t="s">
        <v>196</v>
      </c>
      <c r="K21" s="590"/>
      <c r="L21" s="589" t="s">
        <v>197</v>
      </c>
      <c r="M21" s="590"/>
      <c r="Q21" s="587"/>
      <c r="R21" s="587"/>
      <c r="S21" s="587"/>
      <c r="T21" s="587"/>
      <c r="U21" s="47"/>
      <c r="V21" s="47"/>
      <c r="AD21" s="281"/>
      <c r="AE21" s="281"/>
    </row>
    <row r="22" spans="1:31">
      <c r="A22" s="6" t="s">
        <v>196</v>
      </c>
      <c r="B22" s="134" t="s">
        <v>406</v>
      </c>
      <c r="C22" s="137">
        <f>'Bill Impact (TOU-A)'!C22</f>
        <v>0.54151000000000005</v>
      </c>
      <c r="D22" s="137">
        <f>'Bill Impact (TOU-A)'!D22</f>
        <v>0.53845999999999994</v>
      </c>
      <c r="E22" s="137">
        <f>H7</f>
        <v>0.53845999999999994</v>
      </c>
      <c r="F22" s="255"/>
      <c r="H22" s="383"/>
      <c r="I22" s="384" t="s">
        <v>407</v>
      </c>
      <c r="J22" s="354" t="s">
        <v>408</v>
      </c>
      <c r="K22" s="354" t="s">
        <v>409</v>
      </c>
      <c r="L22" s="354" t="s">
        <v>408</v>
      </c>
      <c r="M22" s="354" t="s">
        <v>409</v>
      </c>
      <c r="N22" s="354" t="s">
        <v>200</v>
      </c>
      <c r="O22" s="354" t="s">
        <v>410</v>
      </c>
      <c r="Q22" s="149"/>
      <c r="R22" s="149"/>
      <c r="S22" s="149"/>
      <c r="T22" s="149"/>
      <c r="U22" s="385"/>
      <c r="V22" s="385"/>
    </row>
    <row r="23" spans="1:31">
      <c r="B23" s="134" t="s">
        <v>411</v>
      </c>
      <c r="C23" s="137">
        <f>'Bill Impact (TOU-A)'!C23</f>
        <v>0.41325000000000001</v>
      </c>
      <c r="D23" s="137">
        <f>'Bill Impact (TOU-A)'!D23</f>
        <v>0.41020000000000001</v>
      </c>
      <c r="E23" s="137">
        <f>H9</f>
        <v>0.41020000000000001</v>
      </c>
      <c r="F23" s="255"/>
      <c r="I23" s="358" t="s">
        <v>412</v>
      </c>
      <c r="J23" s="359">
        <f>'Bill Impact (TOU-A)'!J23</f>
        <v>160.79186300000001</v>
      </c>
      <c r="K23" s="359">
        <f>'Bill Impact (TOU-A)'!K23</f>
        <v>850.81467699999996</v>
      </c>
      <c r="L23" s="359">
        <f>'Bill Impact (TOU-A)'!L23</f>
        <v>150.321776</v>
      </c>
      <c r="M23" s="359">
        <f>'Bill Impact (TOU-A)'!M23</f>
        <v>784.190831</v>
      </c>
      <c r="N23" s="360">
        <f>'Bill Impact (TOU-A)'!N23</f>
        <v>0.5551499221183801</v>
      </c>
      <c r="O23" s="361">
        <f>'Bill Impact (TOU-A)'!O23</f>
        <v>4.3630000000000004</v>
      </c>
      <c r="Q23" s="149"/>
      <c r="R23" s="149"/>
      <c r="S23" s="149"/>
      <c r="T23" s="149"/>
      <c r="U23" s="385"/>
      <c r="V23" s="385"/>
    </row>
    <row r="24" spans="1:31">
      <c r="A24" s="200" t="s">
        <v>197</v>
      </c>
      <c r="B24" s="205" t="s">
        <v>406</v>
      </c>
      <c r="C24" s="206">
        <f>'Bill Impact (TOU-A)'!C24</f>
        <v>0.42368000000000006</v>
      </c>
      <c r="D24" s="206">
        <f>'Bill Impact (TOU-A)'!D24</f>
        <v>0.42063</v>
      </c>
      <c r="E24" s="206">
        <f>H11</f>
        <v>0.42063</v>
      </c>
      <c r="F24" s="255"/>
      <c r="I24" s="358" t="s">
        <v>413</v>
      </c>
      <c r="J24" s="362">
        <f>'Bill Impact (TOU-A)'!J24</f>
        <v>191.05617100000001</v>
      </c>
      <c r="K24" s="362">
        <f>'Bill Impact (TOU-A)'!K24</f>
        <v>1001.54555</v>
      </c>
      <c r="L24" s="362">
        <f>'Bill Impact (TOU-A)'!L24</f>
        <v>143.813929</v>
      </c>
      <c r="M24" s="362">
        <f>'Bill Impact (TOU-A)'!M24</f>
        <v>821.56988200000001</v>
      </c>
      <c r="N24" s="360">
        <f>'Bill Impact (TOU-A)'!N24</f>
        <v>0.22045366043613707</v>
      </c>
      <c r="O24" s="361">
        <f>'Bill Impact (TOU-A)'!O24</f>
        <v>6.6879999999999997</v>
      </c>
      <c r="Q24" s="149"/>
      <c r="R24" s="149"/>
      <c r="S24" s="149"/>
      <c r="T24" s="149"/>
      <c r="U24" s="385"/>
      <c r="V24" s="385"/>
    </row>
    <row r="25" spans="1:31">
      <c r="A25" s="200"/>
      <c r="B25" s="205" t="s">
        <v>411</v>
      </c>
      <c r="C25" s="206">
        <f>'Bill Impact (TOU-A)'!C25</f>
        <v>0.33921000000000007</v>
      </c>
      <c r="D25" s="206">
        <f>'Bill Impact (TOU-A)'!D25</f>
        <v>0.33616000000000001</v>
      </c>
      <c r="E25" s="206">
        <f>H13</f>
        <v>0.33616000000000001</v>
      </c>
      <c r="F25" s="255"/>
      <c r="I25" s="363" t="s">
        <v>414</v>
      </c>
      <c r="J25" s="364">
        <f>'Bill Impact (TOU-A)'!J25</f>
        <v>566.12646400000006</v>
      </c>
      <c r="K25" s="364">
        <f>'Bill Impact (TOU-A)'!K25</f>
        <v>2486.213882</v>
      </c>
      <c r="L25" s="364">
        <f>'Bill Impact (TOU-A)'!L25</f>
        <v>440.37613800000003</v>
      </c>
      <c r="M25" s="364">
        <f>'Bill Impact (TOU-A)'!M25</f>
        <v>1969.4753949999999</v>
      </c>
      <c r="N25" s="365">
        <f>'Bill Impact (TOU-A)'!N25</f>
        <v>0.22439641744548286</v>
      </c>
      <c r="O25" s="366">
        <f>'Bill Impact (TOU-A)'!O25</f>
        <v>9.3629999999999995</v>
      </c>
      <c r="Q25" s="149"/>
      <c r="R25" s="149"/>
      <c r="S25" s="149"/>
      <c r="T25" s="149"/>
      <c r="U25" s="385"/>
      <c r="V25" s="385"/>
    </row>
    <row r="26" spans="1:31">
      <c r="I26" s="119"/>
      <c r="J26" s="119"/>
      <c r="M26" s="119"/>
      <c r="N26" s="119"/>
      <c r="Q26" s="149"/>
      <c r="R26" s="149"/>
      <c r="S26" s="149"/>
      <c r="T26" s="149"/>
      <c r="U26" s="207"/>
      <c r="V26" s="207"/>
    </row>
    <row r="27" spans="1:31">
      <c r="B27" s="7"/>
      <c r="C27" s="208"/>
      <c r="D27" s="208"/>
      <c r="E27" s="209"/>
      <c r="F27" s="209"/>
      <c r="I27" s="119"/>
      <c r="J27" s="119"/>
      <c r="M27" s="119"/>
      <c r="N27" s="119"/>
      <c r="Q27" s="149"/>
      <c r="R27" s="149"/>
      <c r="S27" s="149"/>
      <c r="T27" s="149"/>
      <c r="U27" s="207"/>
      <c r="V27" s="207"/>
    </row>
    <row r="28" spans="1:31">
      <c r="B28" s="7"/>
      <c r="C28" s="208"/>
      <c r="D28" s="208"/>
      <c r="E28" s="209"/>
      <c r="F28" s="209"/>
      <c r="I28" s="119"/>
      <c r="J28" s="119"/>
      <c r="M28" s="119"/>
      <c r="N28" s="119"/>
    </row>
    <row r="29" spans="1:31">
      <c r="B29" s="7"/>
      <c r="C29" s="208"/>
      <c r="D29" s="208"/>
      <c r="E29" s="209"/>
      <c r="F29" s="209"/>
      <c r="I29" s="119"/>
      <c r="J29" s="119"/>
      <c r="M29" s="119"/>
      <c r="N29" s="119"/>
      <c r="Q29" s="149"/>
      <c r="R29" s="149"/>
      <c r="S29" s="149"/>
      <c r="T29" s="149"/>
      <c r="U29" s="207"/>
      <c r="V29" s="207"/>
    </row>
    <row r="30" spans="1:31">
      <c r="B30" s="7"/>
      <c r="C30" s="208"/>
      <c r="D30" s="208"/>
      <c r="E30" s="209"/>
      <c r="F30" s="209"/>
    </row>
    <row r="31" spans="1:31" ht="18">
      <c r="A31" s="246"/>
      <c r="B31" s="7"/>
      <c r="C31" s="208"/>
      <c r="D31" s="208"/>
      <c r="E31" s="209"/>
      <c r="F31" s="209"/>
      <c r="I31" s="246"/>
      <c r="J31" s="246"/>
      <c r="N31" s="51"/>
    </row>
    <row r="32" spans="1:31" ht="27.6">
      <c r="B32" s="598" t="s">
        <v>415</v>
      </c>
      <c r="C32" s="598"/>
      <c r="D32" s="598"/>
      <c r="E32" s="598"/>
      <c r="F32" s="598"/>
      <c r="G32" s="598"/>
      <c r="H32" s="598"/>
      <c r="L32" s="127" t="s">
        <v>416</v>
      </c>
      <c r="O32" s="127"/>
    </row>
    <row r="33" spans="2:27">
      <c r="B33" s="7"/>
      <c r="C33" s="517" t="str">
        <f>'Bill Impact (TOU-A)'!C33</f>
        <v>2024 Recorded Average Basic Bundled Non-CARE Customer Bill</v>
      </c>
      <c r="D33" s="384"/>
      <c r="E33" s="384"/>
      <c r="F33" s="384"/>
      <c r="G33" s="384"/>
      <c r="H33" s="516"/>
      <c r="I33" s="593"/>
      <c r="J33" s="594"/>
      <c r="K33" s="7"/>
      <c r="L33" s="134" t="s">
        <v>417</v>
      </c>
      <c r="M33" s="371" t="str">
        <f>C21</f>
        <v>6/1/2025</v>
      </c>
      <c r="N33" s="344" t="str">
        <f>D21</f>
        <v>10/1/25</v>
      </c>
      <c r="O33" s="134"/>
      <c r="P33" s="178"/>
      <c r="Q33" s="386"/>
    </row>
    <row r="34" spans="2:27">
      <c r="B34" s="7"/>
      <c r="C34" s="594" t="str">
        <f>C21</f>
        <v>6/1/2025</v>
      </c>
      <c r="D34" s="594"/>
      <c r="E34" s="593" t="str">
        <f>D21</f>
        <v>10/1/25</v>
      </c>
      <c r="F34" s="594"/>
      <c r="G34" s="594" t="str">
        <f>E21</f>
        <v>Proposed</v>
      </c>
      <c r="H34" s="594"/>
      <c r="I34" s="208"/>
      <c r="J34" s="208"/>
      <c r="K34" s="7"/>
      <c r="L34" s="134" t="s">
        <v>418</v>
      </c>
      <c r="M34" s="375">
        <f>'Bill Impact (TOU-A)'!M34</f>
        <v>11.45</v>
      </c>
      <c r="N34" s="375">
        <f>'Bill Impact (TOU-A)'!N34</f>
        <v>11.45</v>
      </c>
      <c r="O34" s="134"/>
      <c r="P34" s="375"/>
      <c r="Q34" s="375"/>
    </row>
    <row r="35" spans="2:27">
      <c r="B35" s="7"/>
      <c r="C35" s="208" t="s">
        <v>196</v>
      </c>
      <c r="D35" s="208" t="s">
        <v>197</v>
      </c>
      <c r="E35" s="208" t="s">
        <v>196</v>
      </c>
      <c r="F35" s="208" t="s">
        <v>197</v>
      </c>
      <c r="G35" s="208" t="s">
        <v>196</v>
      </c>
      <c r="H35" s="208" t="s">
        <v>197</v>
      </c>
      <c r="I35" s="256"/>
      <c r="J35" s="256"/>
      <c r="L35" s="134" t="s">
        <v>419</v>
      </c>
      <c r="M35" s="375">
        <f>'Bill Impact (TOU-A)'!M35</f>
        <v>18.32</v>
      </c>
      <c r="N35" s="375">
        <f>'Bill Impact (TOU-A)'!N35</f>
        <v>18.32</v>
      </c>
      <c r="O35" s="134"/>
      <c r="P35" s="375"/>
      <c r="Q35" s="375"/>
      <c r="S35" s="265"/>
    </row>
    <row r="36" spans="2:27">
      <c r="B36" s="138" t="s">
        <v>412</v>
      </c>
      <c r="C36" s="159">
        <f>((C22*$J$23)+(C23*$K$23))+IF($O23&lt;5.1,$M$34,IF(AND($O23&gt;5,$O23&lt;20.1),$M$35,IF(AND($O23&gt;20,$O23&lt;50.1),$M$36,IF($O23&gt;50,$M$37))))+('Incremental Rev Req'!F87*$J$23+'Incremental Rev Req'!F87*$K$23)</f>
        <v>450.92885223538002</v>
      </c>
      <c r="D36" s="159">
        <f>((C24*$L$23)+(C25*$M$23))+IF($O23&lt;5.1,$M$34,IF(AND($O23&gt;5,$O23&lt;20.1),$M$35,IF(AND($O23&gt;20,$O23&lt;50.1),$M$36,IF($O23&gt;50,$M$37))))+('Incremental Rev Req'!F87*$L$23+'Incremental Rev Req'!F87*$M$23)</f>
        <v>341.89131192479005</v>
      </c>
      <c r="E36" s="159">
        <f>((D22*$J$23)+(D23*$K$23))+IF($O23&lt;5.1,$N$34,IF(AND($O23&gt;5,$O23&lt;20.1),$N$35,IF(AND($O23&gt;20,$O23&lt;50.1),$N$36,IF($O23&gt;50,$N$37))))+('Incremental Rev Req'!F87*$J$23+'Incremental Rev Req'!F87*$K$23)</f>
        <v>447.84345228837992</v>
      </c>
      <c r="F36" s="159">
        <f>((D24*$L$23)+(D25*$M$23))+IF($O23&lt;5.1,$N$34,IF(AND($O23&gt;5,$O23&lt;20.1),$N$35,IF(AND($O23&gt;20,$O23&lt;50.1),$N$36,IF($O23&gt;50,$N$37))))+('Incremental Rev Req'!F87*$L$23+'Incremental Rev Req'!F87*$M$23)</f>
        <v>339.04104847344001</v>
      </c>
      <c r="G36" s="159">
        <f>((E22*$J$23)+(E23*$K$23))+IF($O23&lt;5.1,$N$34,IF(AND($O23&gt;5,$O23&lt;20.1),$N$35,IF(AND($O23&gt;20,$O23&lt;50.1),$N$36,IF($O23&gt;50,$N$37))))+('Incremental Rev Req'!F87*$J$23+'Incremental Rev Req'!F87*$K$23)</f>
        <v>447.84345228837992</v>
      </c>
      <c r="H36" s="159">
        <f>((E24*$L$23)+(E25*$M$23))+IF($O23&lt;5.1,$N$34,IF(AND($O23&gt;5,$O23&lt;20.1),$N$35,IF(AND($O23&gt;20,$O23&lt;50.1),$N$36,IF($O23&gt;50,$N$37))))+('Incremental Rev Req'!F87*$L$23+'Incremental Rev Req'!F87*$M$23)</f>
        <v>339.04104847344001</v>
      </c>
      <c r="I36" s="320"/>
      <c r="J36" s="320"/>
      <c r="L36" s="134" t="s">
        <v>420</v>
      </c>
      <c r="M36" s="375">
        <f>'Bill Impact (TOU-A)'!M36</f>
        <v>34.35</v>
      </c>
      <c r="N36" s="375">
        <f>'Bill Impact (TOU-A)'!N36</f>
        <v>34.35</v>
      </c>
      <c r="O36" s="134"/>
      <c r="P36" s="375"/>
      <c r="Q36" s="375"/>
    </row>
    <row r="37" spans="2:27">
      <c r="B37" s="141" t="s">
        <v>413</v>
      </c>
      <c r="C37" s="159">
        <f>((C22*$J$24)+(C23*$K$24))+IF($O24&lt;5.1,$M$34,IF(AND($O24&gt;5,$O24&lt;20.1),$M$35,IF(AND($O24&gt;20,$O24&lt;50.1),$M$36,IF($O24&gt;50,$M$37))))+('Incremental Rev Req'!F87*$J$24+'Incremental Rev Req'!F87*$K$24)</f>
        <v>536.62160707251007</v>
      </c>
      <c r="D37" s="159">
        <f>((C24*$L$24)+(C25*$M$24))+IF($O24&lt;5.1,$M$34,IF(AND($O24&gt;5,$O24&lt;20.1),$M$35,IF(AND($O24&gt;20,$O24&lt;50.1),$M$36,IF($O24&gt;50,$M$37))))+('Incremental Rev Req'!F87*$L$24+'Incremental Rev Req'!F87*$M$24)</f>
        <v>358.70811216074003</v>
      </c>
      <c r="E37" s="159">
        <f>((D22*$J$24)+(D23*$K$24))+IF($O24&lt;5.1,$N$34,IF(AND($O24&gt;5,$O24&lt;20.1),$N$35,IF(AND($O24&gt;20,$O24&lt;50.1),$N$36,IF($O24&gt;50,$N$37))))+('Incremental Rev Req'!F87*$J$24+'Incremental Rev Req'!F87*$K$24)</f>
        <v>532.98417182346009</v>
      </c>
      <c r="F37" s="159">
        <f>((D24*$L$24)+(D25*$M$24))+IF($O24&lt;5.1,$N$34,IF(AND($O24&gt;5,$O24&lt;20.1),$N$35,IF(AND($O24&gt;20,$O24&lt;50.1),$N$36,IF($O24&gt;50,$N$37))))+('Incremental Rev Req'!F87*$L$24+'Incremental Rev Req'!F87*$M$24)</f>
        <v>355.76369153718997</v>
      </c>
      <c r="G37" s="159">
        <f>((E22*$J$24)+(E23*$K$24))+IF($O24&lt;5.1,$N$34,IF(AND($O24&gt;5,$O24&lt;20.1),$N$35,IF(AND($O24&gt;20,$O24&lt;50.1),$N$36,IF($O24&gt;50,$N$37))))+('Incremental Rev Req'!F87*$J$24+'Incremental Rev Req'!F87*$K$24)</f>
        <v>532.98417182346009</v>
      </c>
      <c r="H37" s="159">
        <f>((E24*$L$24)+(E25*$M$24))+IF($O24&lt;5.1,$N$34,IF(AND($O24&gt;5,$O24&lt;20.1),$N$35,IF(AND($O24&gt;20,$O24&lt;50.1),$N$36,IF($O24&gt;50,$N$37))))+('Incremental Rev Req'!F87*$L$24+'Incremental Rev Req'!F87*$M$24)</f>
        <v>355.76369153718997</v>
      </c>
      <c r="I37" s="320"/>
      <c r="J37" s="320"/>
      <c r="L37" s="134" t="s">
        <v>421</v>
      </c>
      <c r="M37" s="375">
        <f>'Bill Impact (TOU-A)'!M37</f>
        <v>85.87</v>
      </c>
      <c r="N37" s="375">
        <f>'Bill Impact (TOU-A)'!N37</f>
        <v>85.87</v>
      </c>
      <c r="O37" s="134"/>
      <c r="P37" s="375"/>
      <c r="Q37" s="375"/>
      <c r="X37" s="10"/>
      <c r="Y37" s="10"/>
      <c r="Z37" s="10"/>
      <c r="AA37" s="10"/>
    </row>
    <row r="38" spans="2:27">
      <c r="B38" s="144" t="s">
        <v>414</v>
      </c>
      <c r="C38" s="159">
        <f>((C22*$J$25)+(C23*$K$25))+IF($O25&lt;5.1,$M$34,IF(AND($O25&gt;5,$O25&lt;20.1),$M$35,IF(AND($O25&gt;20,$O25&lt;50.1),$M$36,IF($O25&gt;50,$M$37))))+('Incremental Rev Req'!F87*$J$25+'Incremental Rev Req'!F87*$K$25)</f>
        <v>1354.7529005339402</v>
      </c>
      <c r="D38" s="159">
        <f>((C24*$L$25)+(C25*$M$25))+IF($O25&lt;5.1,$M$34,IF(AND($O25&gt;5,$O25&lt;20.1),$M$35,IF(AND($O25&gt;20,$O25&lt;50.1),$M$36,IF($O25&gt;50,$M$37))))+('Incremental Rev Req'!F87*$L$25+'Incremental Rev Req'!F87*$M$25)</f>
        <v>874.89219211219029</v>
      </c>
      <c r="E38" s="159">
        <f>((D22*$J$25)+(D23*$K$25))+IF($O25&lt;5.1,$N$34,IF(AND($O25&gt;5,$O25&lt;20.1),$N$35,IF(AND($O25&gt;20,$O25&lt;50.1),$N$36,IF($O25&gt;50,$N$37))))+('Incremental Rev Req'!F87*$J$25+'Incremental Rev Req'!F87*$K$25)</f>
        <v>1345.44326247864</v>
      </c>
      <c r="F38" s="159">
        <f>((D24*$L$25)+(D25*$M$25))+IF($O25&lt;5.1,$N$34,IF(AND($O25&gt;5,$O25&lt;20.1),$N$35,IF(AND($O25&gt;20,$O25&lt;50.1),$N$36,IF($O25&gt;50,$N$37))))+('Incremental Rev Req'!F87*$L$25+'Incremental Rev Req'!F87*$M$25)</f>
        <v>867.54214493654013</v>
      </c>
      <c r="G38" s="159">
        <f>((E22*$J$25)+(E23*$K$25))+IF($O25&lt;5.1,$N$34,IF(AND($O25&gt;5,$O25&lt;20.1),$N$35,IF(AND($O25&gt;20,$O25&lt;50.1),$N$36,IF($O25&gt;50,$N$37))))+('Incremental Rev Req'!F87*$J$25+'Incremental Rev Req'!F87*$K$25)</f>
        <v>1345.44326247864</v>
      </c>
      <c r="H38" s="159">
        <f>((E24*$L$25)+(E25*$M$25))+IF($O25&lt;5.1,$N$34,IF(AND($O25&gt;5,$O25&lt;20.1),$N$35,IF(AND($O25&gt;20,$O25&lt;50.1),$N$36,IF($O25&gt;50,$N$37))))+('Incremental Rev Req'!F87*$L$25+'Incremental Rev Req'!F87*$M$25)</f>
        <v>867.54214493654013</v>
      </c>
      <c r="I38" s="320"/>
      <c r="J38" s="320"/>
      <c r="L38" s="143"/>
      <c r="M38" s="143"/>
      <c r="N38" s="143"/>
      <c r="O38" s="143"/>
      <c r="P38" s="143"/>
      <c r="Q38" s="143"/>
    </row>
    <row r="39" spans="2:27">
      <c r="B39" s="6" t="s">
        <v>113</v>
      </c>
      <c r="C39" s="157">
        <f t="shared" ref="C39:H39" si="0">SUMPRODUCT(C36:C38,$N$23:$N$25)</f>
        <v>672.63501215135182</v>
      </c>
      <c r="D39" s="157">
        <f t="shared" si="0"/>
        <v>465.20212510297017</v>
      </c>
      <c r="E39" s="157">
        <f t="shared" si="0"/>
        <v>668.03121726849463</v>
      </c>
      <c r="F39" s="157">
        <f t="shared" si="0"/>
        <v>461.32136901133987</v>
      </c>
      <c r="G39" s="157">
        <f t="shared" si="0"/>
        <v>668.03121726849463</v>
      </c>
      <c r="H39" s="157">
        <f t="shared" si="0"/>
        <v>461.32136901133987</v>
      </c>
      <c r="I39" s="147"/>
      <c r="J39" s="147"/>
      <c r="K39" s="7"/>
      <c r="L39" s="143"/>
      <c r="M39" s="143"/>
      <c r="N39" s="158"/>
      <c r="O39" s="143"/>
      <c r="P39" s="147"/>
      <c r="Q39" s="147"/>
    </row>
    <row r="40" spans="2:27">
      <c r="B40" s="387"/>
      <c r="C40" s="388"/>
      <c r="D40" s="388"/>
      <c r="E40" s="388"/>
      <c r="F40" s="388"/>
      <c r="G40" s="147"/>
      <c r="H40" s="147"/>
    </row>
  </sheetData>
  <mergeCells count="12">
    <mergeCell ref="B32:H32"/>
    <mergeCell ref="I33:J33"/>
    <mergeCell ref="C34:D34"/>
    <mergeCell ref="E34:F34"/>
    <mergeCell ref="G34:H34"/>
    <mergeCell ref="B2:D2"/>
    <mergeCell ref="E3:I3"/>
    <mergeCell ref="U20:V20"/>
    <mergeCell ref="J21:K21"/>
    <mergeCell ref="L21:M21"/>
    <mergeCell ref="Q21:R21"/>
    <mergeCell ref="S21:T2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B048-FAAD-4923-9831-A369F9903490}">
  <sheetPr codeName="Sheet11">
    <tabColor rgb="FFFF99FF"/>
  </sheetPr>
  <dimension ref="A1:C5"/>
  <sheetViews>
    <sheetView zoomScale="80" zoomScaleNormal="80" workbookViewId="0"/>
  </sheetViews>
  <sheetFormatPr defaultRowHeight="14.4"/>
  <cols>
    <col min="1" max="1" width="22.44140625" customWidth="1"/>
    <col min="2" max="2" width="17.6640625" customWidth="1"/>
    <col min="3" max="3" width="13.88671875" customWidth="1"/>
  </cols>
  <sheetData>
    <row r="1" spans="1:3" ht="26.4">
      <c r="A1" s="223" t="s">
        <v>235</v>
      </c>
      <c r="B1" s="223" t="s">
        <v>233</v>
      </c>
      <c r="C1" s="223" t="s">
        <v>234</v>
      </c>
    </row>
    <row r="2" spans="1:3">
      <c r="A2" s="224" t="s">
        <v>231</v>
      </c>
      <c r="B2" s="224" t="s">
        <v>232</v>
      </c>
    </row>
    <row r="3" spans="1:3">
      <c r="A3" s="225">
        <v>1740402096.7860453</v>
      </c>
      <c r="B3" s="225">
        <v>7793802938.13727</v>
      </c>
      <c r="C3" s="498">
        <f>A3/B3</f>
        <v>0.22330588938421425</v>
      </c>
    </row>
    <row r="5" spans="1:3">
      <c r="A5" t="s">
        <v>342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6051-D3A7-4594-BBBC-6974B096BEEC}">
  <sheetPr codeName="Sheet12"/>
  <dimension ref="A1:T31"/>
  <sheetViews>
    <sheetView zoomScale="80" zoomScaleNormal="80" workbookViewId="0"/>
  </sheetViews>
  <sheetFormatPr defaultRowHeight="14.4"/>
  <cols>
    <col min="1" max="1" width="2.44140625" customWidth="1"/>
    <col min="2" max="2" width="14.33203125" bestFit="1" customWidth="1"/>
    <col min="3" max="3" width="5.44140625" bestFit="1" customWidth="1"/>
    <col min="4" max="17" width="15.6640625" customWidth="1"/>
    <col min="18" max="18" width="14.33203125" customWidth="1"/>
    <col min="20" max="20" width="12.5546875" customWidth="1"/>
  </cols>
  <sheetData>
    <row r="1" spans="1:20" ht="42.75" customHeight="1">
      <c r="C1" s="6"/>
      <c r="D1" s="573" t="s">
        <v>380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</row>
    <row r="2" spans="1:20" ht="31.2">
      <c r="C2" s="1"/>
      <c r="D2" s="323" t="s">
        <v>3</v>
      </c>
      <c r="E2" s="84" t="s">
        <v>389</v>
      </c>
      <c r="F2" s="84" t="s">
        <v>59</v>
      </c>
      <c r="G2" s="84" t="s">
        <v>5</v>
      </c>
      <c r="H2" s="84" t="s">
        <v>98</v>
      </c>
      <c r="I2" s="84" t="s">
        <v>14</v>
      </c>
      <c r="J2" s="84" t="s">
        <v>80</v>
      </c>
      <c r="K2" s="84" t="s">
        <v>100</v>
      </c>
      <c r="L2" s="84" t="s">
        <v>97</v>
      </c>
      <c r="M2" s="84" t="s">
        <v>78</v>
      </c>
      <c r="N2" s="84" t="s">
        <v>10</v>
      </c>
      <c r="O2" s="84" t="s">
        <v>225</v>
      </c>
      <c r="P2" s="84" t="s">
        <v>87</v>
      </c>
      <c r="Q2" s="324" t="s">
        <v>256</v>
      </c>
      <c r="R2" s="83" t="s">
        <v>441</v>
      </c>
      <c r="S2" s="83" t="s">
        <v>587</v>
      </c>
      <c r="T2" s="83"/>
    </row>
    <row r="3" spans="1:20" ht="15.6">
      <c r="A3" s="1"/>
      <c r="B3" s="285" t="s">
        <v>188</v>
      </c>
      <c r="C3" s="328">
        <v>2025</v>
      </c>
      <c r="D3" s="408">
        <v>0.39734597480838124</v>
      </c>
      <c r="E3" s="409">
        <v>0.19327545344183236</v>
      </c>
      <c r="F3" s="409">
        <v>0.41356414406834491</v>
      </c>
      <c r="G3" s="409">
        <v>0.43052325591976237</v>
      </c>
      <c r="H3" s="409">
        <v>0.92534538790323684</v>
      </c>
      <c r="I3" s="409">
        <v>0.41271602975615523</v>
      </c>
      <c r="J3" s="409">
        <v>0.38444530533954435</v>
      </c>
      <c r="K3" s="409">
        <v>0.34297225962541755</v>
      </c>
      <c r="L3" s="409">
        <v>0</v>
      </c>
      <c r="M3" s="409">
        <v>0</v>
      </c>
      <c r="N3" s="409">
        <v>0.49095943363082867</v>
      </c>
      <c r="O3" s="409">
        <v>0.36662864017175789</v>
      </c>
      <c r="P3" s="409">
        <v>0.33127761011240869</v>
      </c>
      <c r="Q3" s="410">
        <v>0.40132533737826931</v>
      </c>
      <c r="R3" s="407">
        <v>-81.37725457534664</v>
      </c>
      <c r="S3">
        <v>8.0000000000000004E-4</v>
      </c>
    </row>
    <row r="4" spans="1:20" ht="15.6">
      <c r="B4" s="285" t="s">
        <v>178</v>
      </c>
      <c r="C4" s="328">
        <v>2026</v>
      </c>
      <c r="D4" s="411">
        <v>0.40275707177337122</v>
      </c>
      <c r="E4" s="411">
        <v>0.19327545344183236</v>
      </c>
      <c r="F4" s="412">
        <v>0.39851332033456133</v>
      </c>
      <c r="G4" s="412">
        <v>0.42564546794027941</v>
      </c>
      <c r="H4" s="412">
        <v>0.93344443986239845</v>
      </c>
      <c r="I4" s="412">
        <v>0.40427529966097436</v>
      </c>
      <c r="J4" s="412">
        <v>0.37542055388231838</v>
      </c>
      <c r="K4" s="412">
        <v>0.35235621245744458</v>
      </c>
      <c r="L4" s="412">
        <v>0</v>
      </c>
      <c r="M4" s="412">
        <v>0</v>
      </c>
      <c r="N4" s="412">
        <v>0.48023679481700299</v>
      </c>
      <c r="O4" s="412">
        <v>0.36967490452336516</v>
      </c>
      <c r="P4" s="412">
        <v>0.31719588101999252</v>
      </c>
      <c r="Q4" s="413">
        <v>0.40671686989565198</v>
      </c>
      <c r="R4" s="407">
        <v>-49.36479961202253</v>
      </c>
    </row>
    <row r="5" spans="1:20" ht="5.25" customHeight="1">
      <c r="B5" s="18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</row>
    <row r="6" spans="1:20" s="731" customFormat="1">
      <c r="B6" s="732"/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733"/>
      <c r="O6" s="733"/>
      <c r="P6" s="733"/>
      <c r="Q6" s="733"/>
    </row>
    <row r="7" spans="1:20" s="731" customFormat="1">
      <c r="B7" s="732"/>
      <c r="D7" s="734"/>
      <c r="E7" s="734"/>
      <c r="F7" s="734"/>
      <c r="G7" s="734"/>
      <c r="H7" s="734"/>
      <c r="I7" s="734"/>
      <c r="J7" s="734"/>
      <c r="K7" s="734"/>
      <c r="L7" s="734"/>
      <c r="M7" s="734"/>
      <c r="N7" s="734"/>
      <c r="O7" s="734"/>
      <c r="P7" s="734"/>
      <c r="Q7" s="734"/>
    </row>
    <row r="8" spans="1:20" ht="41.25" customHeight="1">
      <c r="B8" s="18"/>
      <c r="D8" s="573" t="s">
        <v>422</v>
      </c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</row>
    <row r="9" spans="1:20" ht="31.2">
      <c r="B9" s="18"/>
      <c r="C9" s="1"/>
      <c r="D9" s="323" t="s">
        <v>3</v>
      </c>
      <c r="E9" s="84" t="s">
        <v>389</v>
      </c>
      <c r="F9" s="84" t="s">
        <v>59</v>
      </c>
      <c r="G9" s="84" t="s">
        <v>5</v>
      </c>
      <c r="H9" s="84" t="s">
        <v>98</v>
      </c>
      <c r="I9" s="84" t="s">
        <v>14</v>
      </c>
      <c r="J9" s="84" t="s">
        <v>80</v>
      </c>
      <c r="K9" s="84" t="s">
        <v>100</v>
      </c>
      <c r="L9" s="84" t="s">
        <v>97</v>
      </c>
      <c r="M9" s="84" t="s">
        <v>78</v>
      </c>
      <c r="N9" s="84" t="s">
        <v>10</v>
      </c>
      <c r="O9" s="84" t="s">
        <v>225</v>
      </c>
      <c r="P9" s="84" t="s">
        <v>87</v>
      </c>
      <c r="Q9" s="324" t="s">
        <v>256</v>
      </c>
      <c r="S9" s="83"/>
    </row>
    <row r="10" spans="1:20" ht="15.6">
      <c r="B10" s="285" t="s">
        <v>188</v>
      </c>
      <c r="C10" s="328">
        <v>2025</v>
      </c>
      <c r="D10" s="327">
        <v>0.11257900080002807</v>
      </c>
      <c r="E10" s="325">
        <v>0.13851677628572273</v>
      </c>
      <c r="F10" s="325">
        <v>0.11595501410121499</v>
      </c>
      <c r="G10" s="325">
        <v>0.16620105941641955</v>
      </c>
      <c r="H10" s="325">
        <v>7.1688444143794106E-2</v>
      </c>
      <c r="I10" s="325">
        <v>0.12726378531137064</v>
      </c>
      <c r="J10" s="325">
        <v>0.12160668222577078</v>
      </c>
      <c r="K10" s="325">
        <v>0.13207076581329155</v>
      </c>
      <c r="L10" s="325">
        <v>0</v>
      </c>
      <c r="M10" s="325">
        <v>0</v>
      </c>
      <c r="N10" s="325">
        <v>9.1323154068295179E-2</v>
      </c>
      <c r="O10" s="325">
        <v>0.15760593140131265</v>
      </c>
      <c r="P10" s="325">
        <v>0.13276363556838561</v>
      </c>
      <c r="Q10" s="326">
        <v>0.11244927957186801</v>
      </c>
    </row>
    <row r="11" spans="1:20" ht="15.6">
      <c r="B11" s="285" t="s">
        <v>178</v>
      </c>
      <c r="C11" s="328">
        <v>2026</v>
      </c>
      <c r="D11" s="411">
        <v>0.13947225796443538</v>
      </c>
      <c r="E11" s="411">
        <v>0.13851677628572273</v>
      </c>
      <c r="F11" s="412">
        <v>0.12314002343000446</v>
      </c>
      <c r="G11" s="412">
        <v>0.16187429938936906</v>
      </c>
      <c r="H11" s="412">
        <v>6.3686542882259556E-2</v>
      </c>
      <c r="I11" s="412">
        <v>0.13364797448394217</v>
      </c>
      <c r="J11" s="412">
        <v>0.12731947403217514</v>
      </c>
      <c r="K11" s="412">
        <v>0.13322816465301632</v>
      </c>
      <c r="L11" s="412">
        <v>0</v>
      </c>
      <c r="M11" s="412">
        <v>0</v>
      </c>
      <c r="N11" s="412">
        <v>9.8184298135955861E-2</v>
      </c>
      <c r="O11" s="412">
        <v>0.16257567999876396</v>
      </c>
      <c r="P11" s="412">
        <v>0.14009695092218111</v>
      </c>
      <c r="Q11" s="413">
        <v>0.14099532244925966</v>
      </c>
    </row>
    <row r="12" spans="1:20" ht="6" customHeight="1">
      <c r="B12" s="18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</row>
    <row r="13" spans="1:20" s="731" customFormat="1">
      <c r="D13" s="733"/>
      <c r="E13" s="733"/>
      <c r="F13" s="733"/>
      <c r="G13" s="733"/>
      <c r="H13" s="733"/>
      <c r="I13" s="733"/>
      <c r="J13" s="733"/>
      <c r="K13" s="733"/>
      <c r="L13" s="733"/>
      <c r="M13" s="733"/>
      <c r="N13" s="733"/>
      <c r="O13" s="733"/>
      <c r="P13" s="733"/>
      <c r="Q13" s="733"/>
    </row>
    <row r="14" spans="1:20" s="731" customFormat="1">
      <c r="D14" s="734"/>
      <c r="E14" s="734"/>
      <c r="F14" s="734"/>
      <c r="G14" s="734"/>
      <c r="H14" s="734"/>
      <c r="I14" s="734"/>
      <c r="J14" s="734"/>
      <c r="K14" s="734"/>
      <c r="L14" s="734"/>
      <c r="M14" s="734"/>
      <c r="N14" s="734"/>
      <c r="O14" s="734"/>
      <c r="P14" s="734"/>
      <c r="Q14" s="734"/>
    </row>
    <row r="31" spans="4:4">
      <c r="D31" s="499"/>
    </row>
  </sheetData>
  <mergeCells count="2">
    <mergeCell ref="D1:Q1"/>
    <mergeCell ref="D8:Q8"/>
  </mergeCells>
  <conditionalFormatting sqref="D6:Q6">
    <cfRule type="cellIs" dxfId="3" priority="3" operator="equal">
      <formula>"DECREASE"</formula>
    </cfRule>
    <cfRule type="cellIs" dxfId="2" priority="4" operator="equal">
      <formula>"INCREASE"</formula>
    </cfRule>
  </conditionalFormatting>
  <conditionalFormatting sqref="D13:Q13">
    <cfRule type="cellIs" dxfId="1" priority="1" operator="equal">
      <formula>"DECREASE"</formula>
    </cfRule>
    <cfRule type="cellIs" dxfId="0" priority="2" operator="equal">
      <formula>"INCREASE"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4E4C-BF02-4908-B8DF-216621CCE212}">
  <sheetPr codeName="Sheet5"/>
  <dimension ref="B1:X108"/>
  <sheetViews>
    <sheetView showGridLines="0" zoomScale="80" zoomScaleNormal="80" workbookViewId="0">
      <selection activeCell="D2" sqref="D2"/>
    </sheetView>
  </sheetViews>
  <sheetFormatPr defaultColWidth="8.88671875" defaultRowHeight="14.4"/>
  <cols>
    <col min="1" max="1" width="5.5546875" style="6" customWidth="1"/>
    <col min="2" max="2" width="25" style="6" customWidth="1"/>
    <col min="3" max="3" width="21.33203125" style="6" customWidth="1"/>
    <col min="4" max="6" width="16.88671875" style="6" customWidth="1"/>
    <col min="7" max="7" width="18.33203125" style="6" customWidth="1"/>
    <col min="8" max="8" width="18.6640625" style="6" customWidth="1"/>
    <col min="9" max="10" width="16.88671875" style="6" customWidth="1"/>
    <col min="11" max="11" width="11.109375" style="6" customWidth="1"/>
    <col min="12" max="12" width="17" style="6" customWidth="1"/>
    <col min="13" max="13" width="15.6640625" style="6" customWidth="1"/>
    <col min="14" max="17" width="13.44140625" style="6" customWidth="1"/>
    <col min="18" max="19" width="15.88671875" style="6" customWidth="1"/>
    <col min="20" max="24" width="15.5546875" style="6" customWidth="1"/>
    <col min="25" max="16384" width="8.88671875" style="6"/>
  </cols>
  <sheetData>
    <row r="1" spans="2:20">
      <c r="B1" s="445" t="s">
        <v>125</v>
      </c>
      <c r="G1" s="40" t="s">
        <v>126</v>
      </c>
      <c r="H1" s="41"/>
      <c r="I1" s="41"/>
      <c r="L1" s="40" t="s">
        <v>457</v>
      </c>
      <c r="N1" s="40"/>
      <c r="O1" s="41"/>
      <c r="P1" s="41"/>
    </row>
    <row r="2" spans="2:20">
      <c r="B2" s="41"/>
      <c r="C2" s="42" t="s">
        <v>510</v>
      </c>
      <c r="D2" s="286">
        <v>2029</v>
      </c>
      <c r="E2" s="41"/>
      <c r="G2" s="41" t="s">
        <v>127</v>
      </c>
      <c r="H2" s="43"/>
      <c r="I2" s="600" t="s">
        <v>517</v>
      </c>
      <c r="L2" s="6" t="s">
        <v>488</v>
      </c>
    </row>
    <row r="3" spans="2:20">
      <c r="B3" s="44"/>
      <c r="C3" s="45" t="s">
        <v>128</v>
      </c>
      <c r="D3" s="286" t="s">
        <v>227</v>
      </c>
      <c r="G3" s="41" t="s">
        <v>130</v>
      </c>
      <c r="H3" s="43"/>
      <c r="I3" s="601">
        <f>IF($D$2=2025,2025,2026)</f>
        <v>2026</v>
      </c>
      <c r="L3" s="6" t="s">
        <v>459</v>
      </c>
    </row>
    <row r="4" spans="2:20">
      <c r="G4" s="44" t="s">
        <v>134</v>
      </c>
      <c r="I4" s="52">
        <v>5</v>
      </c>
      <c r="J4" s="44" t="s">
        <v>135</v>
      </c>
      <c r="L4" s="6" t="s">
        <v>454</v>
      </c>
    </row>
    <row r="5" spans="2:20">
      <c r="F5" s="47"/>
      <c r="G5" s="44" t="s">
        <v>136</v>
      </c>
      <c r="I5" s="52">
        <v>7</v>
      </c>
      <c r="J5" s="44" t="s">
        <v>135</v>
      </c>
      <c r="L5" s="442"/>
      <c r="M5" s="549" t="s">
        <v>455</v>
      </c>
      <c r="N5" s="550"/>
      <c r="O5" s="549" t="s">
        <v>456</v>
      </c>
      <c r="P5" s="550"/>
    </row>
    <row r="6" spans="2:20" ht="28.8">
      <c r="B6" s="48" t="s">
        <v>132</v>
      </c>
      <c r="C6" s="48"/>
      <c r="D6" s="444" t="s">
        <v>460</v>
      </c>
      <c r="E6" s="444" t="s">
        <v>133</v>
      </c>
      <c r="G6" s="44" t="s">
        <v>458</v>
      </c>
      <c r="I6" s="407">
        <f>IF($I$8="N",0,'Sales Allocations &amp; CCC'!$R$3)</f>
        <v>-81.37725457534664</v>
      </c>
      <c r="J6" s="44" t="s">
        <v>188</v>
      </c>
      <c r="L6" s="443" t="s">
        <v>131</v>
      </c>
      <c r="M6" s="443" t="s">
        <v>196</v>
      </c>
      <c r="N6" s="443" t="s">
        <v>197</v>
      </c>
      <c r="O6" s="443" t="s">
        <v>196</v>
      </c>
      <c r="P6" s="443" t="s">
        <v>197</v>
      </c>
    </row>
    <row r="7" spans="2:20">
      <c r="B7" t="s">
        <v>352</v>
      </c>
      <c r="D7" s="447" t="s">
        <v>26</v>
      </c>
      <c r="E7" s="47" t="s">
        <v>493</v>
      </c>
      <c r="F7" s="50"/>
      <c r="G7" s="44"/>
      <c r="I7" s="407">
        <f>IF($I$8="N",0,IF($D$2=2025,'Sales Allocations &amp; CCC'!$R$3,'Sales Allocations &amp; CCC'!$R$4))</f>
        <v>-49.36479961202253</v>
      </c>
      <c r="J7" s="44" t="s">
        <v>178</v>
      </c>
      <c r="L7" s="52" t="s">
        <v>153</v>
      </c>
      <c r="M7" s="164">
        <f>IF($D$3="ALL",SUMPRODUCT('Res Bill Impact'!Q22:Q25,'Res Bill Impact'!U22:U25),VLOOKUP($D$3,'Res Bill Impact'!$P$22:$V$25,2,FALSE))</f>
        <v>342.91891800000002</v>
      </c>
      <c r="N7" s="165">
        <f>IF($D$3="ALL",SUMPRODUCT('Res Bill Impact'!R22:R25,'Res Bill Impact'!U22:U25),VLOOKUP(D$3,'Res Bill Impact'!$P$22:$V$25,3,FALSE))</f>
        <v>303.58623299999999</v>
      </c>
      <c r="O7" s="164">
        <f>IF($D$3="ALL",SUMPRODUCT('Res Bill Impact'!Q31:Q34,'Res Bill Impact'!U31:U34),VLOOKUP($D$3,'Res Bill Impact'!$P$31:$V$34,2,FALSE))</f>
        <v>293.18844799999999</v>
      </c>
      <c r="P7" s="165">
        <f>IF($D$3="ALL",SUMPRODUCT('Res Bill Impact'!R31:R34,'Res Bill Impact'!U31:U34),VLOOKUP(D$3,'Res Bill Impact'!$P$31:$V$34,3,FALSE))</f>
        <v>272.42403400000001</v>
      </c>
    </row>
    <row r="8" spans="2:20">
      <c r="B8" s="6" t="s">
        <v>507</v>
      </c>
      <c r="C8" s="49"/>
      <c r="D8" s="446" t="s">
        <v>26</v>
      </c>
      <c r="E8" s="47" t="s">
        <v>493</v>
      </c>
      <c r="F8" s="50"/>
      <c r="H8" s="51" t="s">
        <v>461</v>
      </c>
      <c r="I8" s="354" t="s">
        <v>26</v>
      </c>
      <c r="J8" s="44"/>
      <c r="L8" s="52" t="s">
        <v>154</v>
      </c>
      <c r="M8" s="165">
        <f>IF($D$3="ALL",SUMPRODUCT('Res Bill Impact'!S22:S25,'Res Bill Impact'!V22:V25),VLOOKUP($D$3,'Res Bill Impact'!$P$22:$V$25,4,FALSE))</f>
        <v>335.11797200000001</v>
      </c>
      <c r="N8" s="165">
        <f>IF($D$3="ALL",SUMPRODUCT('Res Bill Impact'!T22:T25,'Res Bill Impact'!V22:V25),VLOOKUP($D$3,'Res Bill Impact'!$P$22:$V$25,5,FALSE))</f>
        <v>296.54197699999997</v>
      </c>
      <c r="O8" s="165">
        <f>IF($D$3="ALL",SUMPRODUCT('Res Bill Impact'!S31:S34,'Res Bill Impact'!V31:V34),VLOOKUP($D$3,'Res Bill Impact'!$P$31:$V$34,4,FALSE))</f>
        <v>300.67371600000001</v>
      </c>
      <c r="P8" s="165">
        <f>IF($D$3="ALL",SUMPRODUCT('Res Bill Impact'!T31:T34,'Res Bill Impact'!V31:V34),VLOOKUP($D$3,'Res Bill Impact'!$P$31:$V$34,5,FALSE))</f>
        <v>283.19878299999999</v>
      </c>
    </row>
    <row r="9" spans="2:20">
      <c r="B9" s="6" t="s">
        <v>498</v>
      </c>
      <c r="D9" s="446" t="s">
        <v>26</v>
      </c>
      <c r="E9" s="47" t="s">
        <v>509</v>
      </c>
      <c r="F9" s="50"/>
      <c r="H9" s="51" t="s">
        <v>452</v>
      </c>
      <c r="I9" s="52">
        <v>400</v>
      </c>
      <c r="J9" s="44"/>
    </row>
    <row r="10" spans="2:20">
      <c r="B10" s="6" t="s">
        <v>101</v>
      </c>
      <c r="D10" s="446" t="s">
        <v>26</v>
      </c>
      <c r="E10" s="47" t="s">
        <v>538</v>
      </c>
      <c r="F10" s="50"/>
      <c r="G10" s="548" t="s">
        <v>453</v>
      </c>
      <c r="H10" s="548"/>
      <c r="T10" s="44"/>
    </row>
    <row r="11" spans="2:20">
      <c r="B11" s="6" t="s">
        <v>496</v>
      </c>
      <c r="D11" s="446" t="s">
        <v>26</v>
      </c>
      <c r="E11" s="47">
        <v>2026</v>
      </c>
      <c r="F11" s="50"/>
      <c r="G11" s="548"/>
      <c r="H11" s="548"/>
    </row>
    <row r="12" spans="2:20">
      <c r="B12" s="6" t="s">
        <v>495</v>
      </c>
      <c r="D12" s="446" t="s">
        <v>26</v>
      </c>
      <c r="E12" s="47">
        <v>2027</v>
      </c>
      <c r="F12" s="50"/>
      <c r="G12" s="548"/>
      <c r="H12" s="548"/>
    </row>
    <row r="13" spans="2:20">
      <c r="B13" s="6" t="s">
        <v>514</v>
      </c>
      <c r="C13" s="49"/>
      <c r="D13" s="446" t="s">
        <v>26</v>
      </c>
      <c r="E13" s="47">
        <v>2026</v>
      </c>
      <c r="F13" s="50"/>
    </row>
    <row r="14" spans="2:20">
      <c r="B14" s="6" t="s">
        <v>477</v>
      </c>
      <c r="C14" s="49"/>
      <c r="D14" s="446" t="s">
        <v>26</v>
      </c>
      <c r="E14" s="47">
        <v>2026</v>
      </c>
      <c r="F14" s="50"/>
    </row>
    <row r="15" spans="2:20">
      <c r="B15" s="6" t="s">
        <v>527</v>
      </c>
      <c r="C15" s="49"/>
      <c r="D15" s="446" t="s">
        <v>26</v>
      </c>
      <c r="E15" s="47">
        <v>2026</v>
      </c>
      <c r="F15" s="50"/>
    </row>
    <row r="16" spans="2:20">
      <c r="B16" s="6" t="s">
        <v>506</v>
      </c>
      <c r="C16" s="49"/>
      <c r="D16" s="446" t="s">
        <v>26</v>
      </c>
      <c r="E16" s="47">
        <v>2026</v>
      </c>
      <c r="F16" s="50"/>
    </row>
    <row r="17" spans="2:24">
      <c r="B17" s="6" t="s">
        <v>522</v>
      </c>
      <c r="C17" s="49"/>
      <c r="D17" s="446" t="s">
        <v>26</v>
      </c>
      <c r="E17" s="47">
        <v>2026</v>
      </c>
      <c r="F17" s="50"/>
    </row>
    <row r="18" spans="2:24">
      <c r="B18" s="6" t="s">
        <v>523</v>
      </c>
      <c r="C18" s="49"/>
      <c r="D18" s="446" t="s">
        <v>26</v>
      </c>
      <c r="E18" s="47">
        <v>2026</v>
      </c>
      <c r="F18" s="50"/>
    </row>
    <row r="19" spans="2:24">
      <c r="B19" s="6" t="s">
        <v>524</v>
      </c>
      <c r="C19" s="49"/>
      <c r="D19" s="446" t="s">
        <v>26</v>
      </c>
      <c r="E19" s="47">
        <v>2026</v>
      </c>
      <c r="F19" s="50"/>
    </row>
    <row r="20" spans="2:24">
      <c r="B20" s="6" t="s">
        <v>525</v>
      </c>
      <c r="C20" s="49"/>
      <c r="D20" s="446" t="s">
        <v>26</v>
      </c>
      <c r="E20" s="47">
        <v>2026</v>
      </c>
      <c r="F20" s="50"/>
    </row>
    <row r="21" spans="2:24">
      <c r="B21" s="6" t="s">
        <v>526</v>
      </c>
      <c r="C21" s="49"/>
      <c r="D21" s="446" t="s">
        <v>26</v>
      </c>
      <c r="E21" s="47">
        <v>2026</v>
      </c>
      <c r="F21" s="50"/>
    </row>
    <row r="22" spans="2:24">
      <c r="B22" s="6" t="s">
        <v>83</v>
      </c>
      <c r="C22" s="49"/>
      <c r="D22" s="446" t="s">
        <v>26</v>
      </c>
      <c r="E22" s="47">
        <v>2026</v>
      </c>
      <c r="F22" s="50"/>
    </row>
    <row r="23" spans="2:24">
      <c r="B23" s="6" t="s">
        <v>85</v>
      </c>
      <c r="C23" s="49"/>
      <c r="D23" s="446" t="s">
        <v>26</v>
      </c>
      <c r="E23" s="47">
        <v>2026</v>
      </c>
      <c r="F23" s="50"/>
      <c r="M23" s="44"/>
    </row>
    <row r="24" spans="2:24">
      <c r="B24" s="6" t="s">
        <v>393</v>
      </c>
      <c r="C24" s="49"/>
      <c r="D24" s="446" t="s">
        <v>26</v>
      </c>
      <c r="E24" s="47">
        <v>2026</v>
      </c>
      <c r="F24" s="50"/>
      <c r="M24" s="44"/>
    </row>
    <row r="25" spans="2:24">
      <c r="F25" s="50"/>
      <c r="J25" s="44"/>
      <c r="M25" s="44"/>
    </row>
    <row r="26" spans="2:24">
      <c r="F26" s="50"/>
      <c r="J26" s="44"/>
      <c r="M26" s="44"/>
    </row>
    <row r="27" spans="2:24">
      <c r="C27" s="49"/>
      <c r="D27" s="47"/>
      <c r="E27" s="47"/>
      <c r="F27" s="50"/>
      <c r="J27" s="44"/>
      <c r="M27" s="44"/>
    </row>
    <row r="28" spans="2:24">
      <c r="B28" s="40" t="s">
        <v>137</v>
      </c>
    </row>
    <row r="29" spans="2:24" ht="15" thickBot="1">
      <c r="D29" s="53" t="s">
        <v>138</v>
      </c>
      <c r="E29" s="53" t="s">
        <v>139</v>
      </c>
      <c r="F29" s="53" t="s">
        <v>140</v>
      </c>
      <c r="G29" s="53" t="s">
        <v>141</v>
      </c>
      <c r="H29" s="53" t="s">
        <v>142</v>
      </c>
      <c r="I29" s="53" t="s">
        <v>143</v>
      </c>
      <c r="J29" s="53" t="s">
        <v>144</v>
      </c>
      <c r="N29" s="53" t="s">
        <v>138</v>
      </c>
      <c r="O29" s="53" t="s">
        <v>139</v>
      </c>
      <c r="P29" s="53" t="s">
        <v>140</v>
      </c>
      <c r="Q29" s="53" t="s">
        <v>141</v>
      </c>
      <c r="R29" s="53" t="s">
        <v>142</v>
      </c>
      <c r="S29" s="53" t="s">
        <v>143</v>
      </c>
      <c r="T29" s="53" t="s">
        <v>144</v>
      </c>
    </row>
    <row r="30" spans="2:24">
      <c r="B30" s="511" t="s">
        <v>145</v>
      </c>
      <c r="C30" s="512"/>
      <c r="D30" s="512"/>
      <c r="E30" s="512"/>
      <c r="F30" s="512"/>
      <c r="G30" s="512"/>
      <c r="H30" s="512"/>
      <c r="I30" s="512"/>
      <c r="J30" s="513"/>
      <c r="L30" s="540" t="s">
        <v>146</v>
      </c>
      <c r="M30" s="541"/>
      <c r="N30" s="541"/>
      <c r="O30" s="541"/>
      <c r="P30" s="541"/>
      <c r="Q30" s="541"/>
      <c r="R30" s="541"/>
      <c r="S30" s="541"/>
      <c r="T30" s="542"/>
    </row>
    <row r="31" spans="2:24" ht="28.8">
      <c r="B31" s="543" t="s">
        <v>147</v>
      </c>
      <c r="C31" s="544"/>
      <c r="D31" s="500" t="s">
        <v>518</v>
      </c>
      <c r="E31" s="179" t="str">
        <f>I2</f>
        <v>10/1/25</v>
      </c>
      <c r="F31" s="55" t="str">
        <f>$D$2&amp;" Authorized"</f>
        <v>2029 Authorized</v>
      </c>
      <c r="G31" s="55" t="str">
        <f>$D$2&amp;" w/Pending"</f>
        <v>2029 w/Pending</v>
      </c>
      <c r="H31" s="296" t="str">
        <f>_xlfn.TEXTJOIN(" ",TRUE,"% Change over",D31)</f>
        <v>% Change over 6/1/2025</v>
      </c>
      <c r="I31" s="296" t="str">
        <f>_xlfn.TEXTJOIN(" ",TRUE,"% Change over",E31)</f>
        <v>% Change over 10/1/25</v>
      </c>
      <c r="J31" s="56" t="s">
        <v>148</v>
      </c>
      <c r="L31" s="545" t="s">
        <v>147</v>
      </c>
      <c r="M31" s="546"/>
      <c r="N31" s="215" t="str">
        <f>$D$31</f>
        <v>6/1/2025</v>
      </c>
      <c r="O31" s="179" t="str">
        <f>$E$31</f>
        <v>10/1/25</v>
      </c>
      <c r="P31" s="55" t="str">
        <f>$D$2&amp;" Authorized"</f>
        <v>2029 Authorized</v>
      </c>
      <c r="Q31" s="55" t="str">
        <f>$D$2&amp;" w/Pending"</f>
        <v>2029 w/Pending</v>
      </c>
      <c r="R31" s="55" t="str">
        <f>$H$31</f>
        <v>% Change over 6/1/2025</v>
      </c>
      <c r="S31" s="55" t="str">
        <f>$I$31</f>
        <v>% Change over 10/1/25</v>
      </c>
      <c r="T31" s="56" t="s">
        <v>148</v>
      </c>
    </row>
    <row r="32" spans="2:24">
      <c r="B32" s="536" t="s">
        <v>149</v>
      </c>
      <c r="C32" s="537"/>
      <c r="D32" s="487">
        <f>IF($I$8="Y",'SAR and RAR'!AC26,'SAR and RAR'!AE26)</f>
        <v>37.777000000000001</v>
      </c>
      <c r="E32" s="57">
        <f>'SAR and RAR'!H24</f>
        <v>37.26</v>
      </c>
      <c r="F32" s="57">
        <f>'SAR and RAR'!I24</f>
        <v>41.36837154712623</v>
      </c>
      <c r="G32" s="602">
        <f>'SAR and RAR'!J24</f>
        <v>44.785949294868431</v>
      </c>
      <c r="H32" s="58">
        <f t="shared" ref="H32:I34" si="0">$G32/D32-1</f>
        <v>0.18553483058126452</v>
      </c>
      <c r="I32" s="58">
        <f t="shared" si="0"/>
        <v>0.20198468316877172</v>
      </c>
      <c r="J32" s="59">
        <f t="shared" ref="J32:J34" si="1">$G32/F32-1</f>
        <v>8.2613301416734508E-2</v>
      </c>
      <c r="K32" s="470"/>
      <c r="L32" s="536" t="s">
        <v>150</v>
      </c>
      <c r="M32" s="547"/>
      <c r="N32" s="57">
        <v>36.311815973627034</v>
      </c>
      <c r="O32" s="213">
        <f>'SAR and RAR'!S24</f>
        <v>35.794815973627038</v>
      </c>
      <c r="P32" s="57">
        <f>'SAR and RAR'!T24</f>
        <v>39.576558072887117</v>
      </c>
      <c r="Q32" s="57">
        <f>'SAR and RAR'!U24</f>
        <v>48.059339175498138</v>
      </c>
      <c r="R32" s="58">
        <f>$Q32/N32-1</f>
        <v>0.32351792073421026</v>
      </c>
      <c r="S32" s="58">
        <f>$Q32/O32-1</f>
        <v>0.34263406217557812</v>
      </c>
      <c r="T32" s="59">
        <f>$Q32/P32-1</f>
        <v>0.2143385255228234</v>
      </c>
      <c r="U32" s="153"/>
      <c r="V32" s="153"/>
      <c r="W32" s="153"/>
      <c r="X32" s="153"/>
    </row>
    <row r="33" spans="2:24">
      <c r="B33" s="261"/>
      <c r="C33" s="262" t="s">
        <v>426</v>
      </c>
      <c r="D33" s="487">
        <f>IF($I$8="Y",'SAR and RAR (TOU-A)'!AC26,'SAR and RAR (TOU-A)'!AE26)</f>
        <v>37.375</v>
      </c>
      <c r="E33" s="393">
        <f>'SAR and RAR (TOU-A)'!H24</f>
        <v>37.106000000000002</v>
      </c>
      <c r="F33" s="393">
        <f>'SAR and RAR (TOU-A)'!I24</f>
        <v>39.261319324094202</v>
      </c>
      <c r="G33" s="603">
        <f>'SAR and RAR (TOU-A)'!J24</f>
        <v>39.931708648914181</v>
      </c>
      <c r="H33" s="58">
        <f t="shared" si="0"/>
        <v>6.8406920372285684E-2</v>
      </c>
      <c r="I33" s="58">
        <f t="shared" si="0"/>
        <v>7.6152337867573472E-2</v>
      </c>
      <c r="J33" s="59">
        <f t="shared" si="1"/>
        <v>1.7075058514617103E-2</v>
      </c>
      <c r="K33" s="470"/>
      <c r="L33" s="261"/>
      <c r="M33" s="42" t="s">
        <v>426</v>
      </c>
      <c r="N33" s="393">
        <v>36.406671999002874</v>
      </c>
      <c r="O33" s="394">
        <f>'SAR and RAR (TOU-A)'!S24</f>
        <v>36.137671999002876</v>
      </c>
      <c r="P33" s="393">
        <f>'SAR and RAR (TOU-A)'!T24</f>
        <v>37.900521091367608</v>
      </c>
      <c r="Q33" s="393">
        <f>'SAR and RAR (TOU-A)'!U24</f>
        <v>42.41940263365516</v>
      </c>
      <c r="R33" s="58">
        <f t="shared" ref="R33:T34" si="2">$Q33/N33-1</f>
        <v>0.16515463524974128</v>
      </c>
      <c r="S33" s="58">
        <f t="shared" si="2"/>
        <v>0.17382776164512226</v>
      </c>
      <c r="T33" s="59">
        <f>$Q33/P33-1</f>
        <v>0.11923006365516153</v>
      </c>
      <c r="U33" s="153"/>
      <c r="V33" s="153"/>
      <c r="W33" s="153"/>
      <c r="X33" s="153"/>
    </row>
    <row r="34" spans="2:24" ht="15" thickBot="1">
      <c r="B34" s="526" t="s">
        <v>151</v>
      </c>
      <c r="C34" s="538"/>
      <c r="D34" s="488">
        <f>IF($I$8="Y",'SAR and RAR'!AC27,'SAR and RAR'!AE27)</f>
        <v>35.430999999999997</v>
      </c>
      <c r="E34" s="60">
        <f>'SAR and RAR'!H25</f>
        <v>35.117000000000004</v>
      </c>
      <c r="F34" s="60">
        <f>'SAR and RAR'!I25</f>
        <v>39.173037443540508</v>
      </c>
      <c r="G34" s="60">
        <f>'SAR and RAR'!J25</f>
        <v>40.326523832481151</v>
      </c>
      <c r="H34" s="61">
        <f t="shared" si="0"/>
        <v>0.1381706368005744</v>
      </c>
      <c r="I34" s="61">
        <f t="shared" si="0"/>
        <v>0.14834763312586907</v>
      </c>
      <c r="J34" s="62">
        <f t="shared" si="1"/>
        <v>2.94459266939191E-2</v>
      </c>
      <c r="K34" s="470"/>
      <c r="L34" s="526" t="s">
        <v>152</v>
      </c>
      <c r="M34" s="527"/>
      <c r="N34" s="60">
        <v>34.280275336408138</v>
      </c>
      <c r="O34" s="214">
        <f>'SAR and RAR'!S25</f>
        <v>33.966275336408145</v>
      </c>
      <c r="P34" s="60">
        <f>'SAR and RAR'!T25</f>
        <v>37.866535623654954</v>
      </c>
      <c r="Q34" s="60">
        <f>'SAR and RAR'!U25</f>
        <v>42.715014644403041</v>
      </c>
      <c r="R34" s="61">
        <f t="shared" si="2"/>
        <v>0.24605226256851553</v>
      </c>
      <c r="S34" s="61">
        <f t="shared" si="2"/>
        <v>0.25757134750118449</v>
      </c>
      <c r="T34" s="62">
        <f t="shared" si="2"/>
        <v>0.12804126231498381</v>
      </c>
      <c r="U34" s="153"/>
      <c r="V34" s="153"/>
      <c r="W34" s="153"/>
      <c r="X34" s="153"/>
    </row>
    <row r="35" spans="2:24">
      <c r="E35" s="63"/>
      <c r="F35" s="63"/>
      <c r="G35" s="63"/>
      <c r="O35" s="63"/>
      <c r="P35" s="63"/>
      <c r="Q35" s="63"/>
    </row>
    <row r="36" spans="2:24" ht="15" thickBot="1">
      <c r="E36" s="63"/>
      <c r="F36" s="63"/>
      <c r="G36" s="63"/>
      <c r="O36" s="63"/>
      <c r="P36" s="63"/>
      <c r="Q36" s="63"/>
    </row>
    <row r="37" spans="2:24">
      <c r="B37" s="505" t="s">
        <v>284</v>
      </c>
      <c r="C37" s="506"/>
      <c r="D37" s="506"/>
      <c r="E37" s="506"/>
      <c r="F37" s="506"/>
      <c r="G37" s="506"/>
      <c r="H37" s="506"/>
      <c r="I37" s="506"/>
      <c r="J37" s="507"/>
      <c r="L37" s="533" t="s">
        <v>287</v>
      </c>
      <c r="M37" s="534"/>
      <c r="N37" s="534"/>
      <c r="O37" s="534"/>
      <c r="P37" s="534"/>
      <c r="Q37" s="534"/>
      <c r="R37" s="534"/>
      <c r="S37" s="534"/>
      <c r="T37" s="535"/>
    </row>
    <row r="38" spans="2:24" ht="28.8">
      <c r="B38" s="64"/>
      <c r="C38" s="65"/>
      <c r="D38" s="54" t="str">
        <f>$D$31</f>
        <v>6/1/2025</v>
      </c>
      <c r="E38" s="179" t="str">
        <f>$E$31</f>
        <v>10/1/25</v>
      </c>
      <c r="F38" s="55" t="str">
        <f>$D$2&amp;" Authorized"</f>
        <v>2029 Authorized</v>
      </c>
      <c r="G38" s="55" t="str">
        <f>$D$2&amp;" w/Pending"</f>
        <v>2029 w/Pending</v>
      </c>
      <c r="H38" s="55" t="str">
        <f>$H$31</f>
        <v>% Change over 6/1/2025</v>
      </c>
      <c r="I38" s="55" t="str">
        <f>$I$31</f>
        <v>% Change over 10/1/25</v>
      </c>
      <c r="J38" s="56" t="s">
        <v>148</v>
      </c>
      <c r="L38" s="64"/>
      <c r="M38" s="65"/>
      <c r="N38" s="54" t="str">
        <f>$D$31</f>
        <v>6/1/2025</v>
      </c>
      <c r="O38" s="179" t="str">
        <f>$E$31</f>
        <v>10/1/25</v>
      </c>
      <c r="P38" s="55" t="str">
        <f>$D$2&amp;" Authorized"</f>
        <v>2029 Authorized</v>
      </c>
      <c r="Q38" s="55" t="str">
        <f>$D$2&amp;" w/Pending"</f>
        <v>2029 w/Pending</v>
      </c>
      <c r="R38" s="55" t="str">
        <f>$H$31</f>
        <v>% Change over 6/1/2025</v>
      </c>
      <c r="S38" s="55" t="str">
        <f>$I$31</f>
        <v>% Change over 10/1/25</v>
      </c>
      <c r="T38" s="56" t="s">
        <v>148</v>
      </c>
    </row>
    <row r="39" spans="2:24">
      <c r="B39" s="528" t="s">
        <v>153</v>
      </c>
      <c r="C39" s="539"/>
      <c r="D39" s="160">
        <f>((D45*5)+(D51*7)+(I6*2))/12</f>
        <v>122.73307170168799</v>
      </c>
      <c r="E39" s="160">
        <f>((E45*5)+(E51*7)+(I6*2))/12</f>
        <v>130.1564683974515</v>
      </c>
      <c r="F39" s="161">
        <f>((F45*5)+(F51*7)+(I7*2))/12</f>
        <v>148.63284767930767</v>
      </c>
      <c r="G39" s="161">
        <f>((G45*5)+(G51*7)+(I7*2))/12</f>
        <v>153.80391771362136</v>
      </c>
      <c r="H39" s="66">
        <f t="shared" ref="H39:J41" si="3">$G39/D39-1</f>
        <v>0.25315789445450698</v>
      </c>
      <c r="I39" s="67">
        <f t="shared" si="3"/>
        <v>0.18168477992164767</v>
      </c>
      <c r="J39" s="68">
        <f t="shared" si="3"/>
        <v>3.479089659555501E-2</v>
      </c>
      <c r="K39" s="470"/>
      <c r="L39" s="528" t="s">
        <v>153</v>
      </c>
      <c r="M39" s="539"/>
      <c r="N39" s="160">
        <f>((N45*5)+(N51*7)+(I6*2))/12</f>
        <v>108.83479289393846</v>
      </c>
      <c r="O39" s="160">
        <f>((O45*5)+(O51*7)+(I6*2))/12</f>
        <v>117.92782529259067</v>
      </c>
      <c r="P39" s="161">
        <f>((P45*5)+(P51*7)+(I7*2))/12</f>
        <v>135.06468697873041</v>
      </c>
      <c r="Q39" s="161">
        <f>((Q45*5)+(Q51*7)+(I7*2))/12</f>
        <v>139.70864681983119</v>
      </c>
      <c r="R39" s="66">
        <f t="shared" ref="R39:T41" si="4">$Q39/N39-1</f>
        <v>0.28367632358137418</v>
      </c>
      <c r="S39" s="66">
        <f t="shared" si="4"/>
        <v>0.18469620272569376</v>
      </c>
      <c r="T39" s="266">
        <f t="shared" si="4"/>
        <v>3.4383227362990043E-2</v>
      </c>
    </row>
    <row r="40" spans="2:24">
      <c r="B40" s="528" t="s">
        <v>154</v>
      </c>
      <c r="C40" s="539"/>
      <c r="D40" s="160">
        <f>((D46*5)+(D52*7)+(I6*2))/12</f>
        <v>69.370839363084727</v>
      </c>
      <c r="E40" s="160">
        <f>((E46*5)+(E52*7)+(I6*2))/12</f>
        <v>67.381524370524716</v>
      </c>
      <c r="F40" s="161">
        <f>((F46*5)+(F52*7)+(I7*2))/12</f>
        <v>80.929262088471418</v>
      </c>
      <c r="G40" s="161">
        <f>((G46*5)+(G52*7)+(I7*2))/12</f>
        <v>84.160874802226232</v>
      </c>
      <c r="H40" s="66">
        <f t="shared" si="3"/>
        <v>0.21320248644723661</v>
      </c>
      <c r="I40" s="66">
        <f t="shared" si="3"/>
        <v>0.24902004797982058</v>
      </c>
      <c r="J40" s="68">
        <f t="shared" si="3"/>
        <v>3.9931325584336097E-2</v>
      </c>
      <c r="K40" s="470"/>
      <c r="L40" s="528" t="s">
        <v>154</v>
      </c>
      <c r="M40" s="539"/>
      <c r="N40" s="160">
        <f>((N46*5)+(N52*7)+(I6*2))/12</f>
        <v>65.458104287149723</v>
      </c>
      <c r="O40" s="160">
        <f>((O46*5)+(O52*7)+(I6*2))/12</f>
        <v>63.792491662009745</v>
      </c>
      <c r="P40" s="161">
        <f>((P46*5)+(P52*7)+(I7*2))/12</f>
        <v>76.948030767124138</v>
      </c>
      <c r="Q40" s="161">
        <f>((Q46*5)+(Q52*7)+(I7*2))/12</f>
        <v>80.025310393169619</v>
      </c>
      <c r="R40" s="66">
        <f t="shared" si="4"/>
        <v>0.22254243786402506</v>
      </c>
      <c r="S40" s="66">
        <f t="shared" si="4"/>
        <v>0.25446284207185133</v>
      </c>
      <c r="T40" s="68">
        <f t="shared" si="4"/>
        <v>3.9991661844584137E-2</v>
      </c>
    </row>
    <row r="41" spans="2:24" ht="15" thickBot="1">
      <c r="B41" s="526" t="s">
        <v>113</v>
      </c>
      <c r="C41" s="538"/>
      <c r="D41" s="162">
        <f>((D47*5)+(D53*7)+(I6*2))/12</f>
        <v>110.81697094978909</v>
      </c>
      <c r="E41" s="162">
        <f>((E47*5)+(E53*7)+(I6*2))/12</f>
        <v>116.13845369047432</v>
      </c>
      <c r="F41" s="163">
        <f>((F47*5)+(F53*7)+(I7*2))/12</f>
        <v>133.5142382844457</v>
      </c>
      <c r="G41" s="163">
        <f>((G47*5)+(G53*7)+(I7*2))/12</f>
        <v>138.25221607686927</v>
      </c>
      <c r="H41" s="69">
        <f t="shared" si="3"/>
        <v>0.24757259553242106</v>
      </c>
      <c r="I41" s="69">
        <f t="shared" si="3"/>
        <v>0.19040861733299219</v>
      </c>
      <c r="J41" s="70">
        <f t="shared" si="3"/>
        <v>3.5486685564797504E-2</v>
      </c>
      <c r="K41" s="470"/>
      <c r="L41" s="526" t="s">
        <v>113</v>
      </c>
      <c r="M41" s="538"/>
      <c r="N41" s="162">
        <f>((N47*5)+(N53*7)+(I6*2))/12</f>
        <v>99.148522866057377</v>
      </c>
      <c r="O41" s="162">
        <f>((O47*5)+(O53*7)+(I6*2))/12</f>
        <v>105.83908646910264</v>
      </c>
      <c r="P41" s="163">
        <f>((P47*5)+(P53*7)+(I7*2))/12</f>
        <v>122.08689537536104</v>
      </c>
      <c r="Q41" s="163">
        <f>((Q47*5)+(Q53*7)+(I7*2))/12</f>
        <v>126.38100629765825</v>
      </c>
      <c r="R41" s="69">
        <f t="shared" si="4"/>
        <v>0.27466353148185596</v>
      </c>
      <c r="S41" s="69">
        <f t="shared" si="4"/>
        <v>0.19408632967133888</v>
      </c>
      <c r="T41" s="70">
        <f t="shared" si="4"/>
        <v>3.5172578589166337E-2</v>
      </c>
    </row>
    <row r="42" spans="2:24" ht="15" thickBot="1">
      <c r="D42" s="480"/>
      <c r="E42" s="480"/>
      <c r="F42" s="480"/>
      <c r="G42" s="480"/>
      <c r="N42" s="480"/>
      <c r="O42" s="480"/>
      <c r="P42" s="480"/>
      <c r="Q42" s="480"/>
    </row>
    <row r="43" spans="2:24">
      <c r="B43" s="505" t="s">
        <v>285</v>
      </c>
      <c r="C43" s="506"/>
      <c r="D43" s="506"/>
      <c r="E43" s="506"/>
      <c r="F43" s="506"/>
      <c r="G43" s="506"/>
      <c r="H43" s="506"/>
      <c r="I43" s="506"/>
      <c r="J43" s="507"/>
      <c r="L43" s="533" t="s">
        <v>288</v>
      </c>
      <c r="M43" s="534"/>
      <c r="N43" s="534"/>
      <c r="O43" s="534"/>
      <c r="P43" s="534"/>
      <c r="Q43" s="534"/>
      <c r="R43" s="534"/>
      <c r="S43" s="534"/>
      <c r="T43" s="535"/>
    </row>
    <row r="44" spans="2:24" ht="28.8">
      <c r="B44" s="64"/>
      <c r="C44" s="65"/>
      <c r="D44" s="54" t="str">
        <f>$D$31</f>
        <v>6/1/2025</v>
      </c>
      <c r="E44" s="179" t="str">
        <f>$E$31</f>
        <v>10/1/25</v>
      </c>
      <c r="F44" s="55" t="str">
        <f>$D$2&amp;" Authorized"</f>
        <v>2029 Authorized</v>
      </c>
      <c r="G44" s="55" t="str">
        <f>$D$2&amp;" w/Pending"</f>
        <v>2029 w/Pending</v>
      </c>
      <c r="H44" s="55" t="str">
        <f>$H$31</f>
        <v>% Change over 6/1/2025</v>
      </c>
      <c r="I44" s="55" t="str">
        <f>$I$31</f>
        <v>% Change over 10/1/25</v>
      </c>
      <c r="J44" s="56" t="s">
        <v>148</v>
      </c>
      <c r="L44" s="64"/>
      <c r="M44" s="65"/>
      <c r="N44" s="54" t="str">
        <f>$D$31</f>
        <v>6/1/2025</v>
      </c>
      <c r="O44" s="179" t="str">
        <f>$E$31</f>
        <v>10/1/25</v>
      </c>
      <c r="P44" s="55" t="str">
        <f>$D$2&amp;" Authorized"</f>
        <v>2029 Authorized</v>
      </c>
      <c r="Q44" s="55" t="str">
        <f>$D$2&amp;" w/Pending"</f>
        <v>2029 w/Pending</v>
      </c>
      <c r="R44" s="55" t="str">
        <f>$H$31</f>
        <v>% Change over 6/1/2025</v>
      </c>
      <c r="S44" s="55" t="str">
        <f>$I$31</f>
        <v>% Change over 10/1/25</v>
      </c>
      <c r="T44" s="56" t="s">
        <v>148</v>
      </c>
    </row>
    <row r="45" spans="2:24">
      <c r="B45" s="528" t="s">
        <v>153</v>
      </c>
      <c r="C45" s="539"/>
      <c r="D45" s="160">
        <f>IF($D$3="All",'Res Bill Impact'!$C$47,(VLOOKUP($D$3,'Res Bill Impact'!$B$43:$J$46,2,FALSE)))</f>
        <v>146.06916317517758</v>
      </c>
      <c r="E45" s="160">
        <f>IF($D$3="All",'Res Bill Impact'!$E$47,(VLOOKUP($D$3,'Res Bill Impact'!$B$43:$J$46,4,FALSE)))</f>
        <v>152.3180537905441</v>
      </c>
      <c r="F45" s="161">
        <f>IF($D$3="All",'Res Bill Impact'!$G$47,(VLOOKUP($D$3,'Res Bill Impact'!$B$43:$J$46,6,FALSE)))</f>
        <v>166.40130824264108</v>
      </c>
      <c r="G45" s="161">
        <f>IF($D$3="All",'Res Bill Impact'!$I$47,(VLOOKUP($D$3,'Res Bill Impact'!$B$43:$J$46,8,FALSE)))</f>
        <v>171.94317420920319</v>
      </c>
      <c r="H45" s="66">
        <f t="shared" ref="H45:J47" si="5">$G45/D45-1</f>
        <v>0.17713534103700912</v>
      </c>
      <c r="I45" s="66">
        <f t="shared" si="5"/>
        <v>0.12884303554486087</v>
      </c>
      <c r="J45" s="68">
        <f t="shared" si="5"/>
        <v>3.330422113317244E-2</v>
      </c>
      <c r="K45" s="470"/>
      <c r="L45" s="528" t="s">
        <v>153</v>
      </c>
      <c r="M45" s="539"/>
      <c r="N45" s="160">
        <f>IF($D$3="All",'Res Bill Impact'!$N$47,(VLOOKUP($D$3,'Res Bill Impact'!$M$43:$U$46,2,FALSE)))</f>
        <v>131.29661075776258</v>
      </c>
      <c r="O45" s="160">
        <f>IF($D$3="All",'Res Bill Impact'!$P$47,(VLOOKUP($D$3,'Res Bill Impact'!$M$43:$U$46,4,FALSE)))</f>
        <v>139.31935818229033</v>
      </c>
      <c r="P45" s="161">
        <f>IF($D$3="All",'Res Bill Impact'!$R$47,(VLOOKUP($D$3,'Res Bill Impact'!$M$43:$U$46,6,FALSE)))</f>
        <v>151.9794803882082</v>
      </c>
      <c r="Q45" s="161">
        <f>IF($D$3="All",'Res Bill Impact'!$T$47,(VLOOKUP($D$3,'Res Bill Impact'!$M$43:$U$46,8,FALSE)))</f>
        <v>156.96133317118102</v>
      </c>
      <c r="R45" s="66">
        <f t="shared" ref="R45:T47" si="6">$Q45/N45-1</f>
        <v>0.19547132454750815</v>
      </c>
      <c r="S45" s="66">
        <f t="shared" si="6"/>
        <v>0.12662974635446789</v>
      </c>
      <c r="T45" s="66">
        <f t="shared" si="6"/>
        <v>3.2779772441960286E-2</v>
      </c>
    </row>
    <row r="46" spans="2:24">
      <c r="B46" s="528" t="s">
        <v>154</v>
      </c>
      <c r="C46" s="539"/>
      <c r="D46" s="160">
        <f>IF($D$3="All",'Res Bill Impact'!$C$57,(VLOOKUP($D$3,'Res Bill Impact'!$B$53:$J$56,2,FALSE)))</f>
        <v>88.90344679188</v>
      </c>
      <c r="E46" s="160">
        <f>IF($D$3="All",'Res Bill Impact'!$E$57,(VLOOKUP($D$3,'Res Bill Impact'!$B$53:$J$56,4,FALSE)))</f>
        <v>86.345264459719999</v>
      </c>
      <c r="F46" s="161">
        <f>IF($D$3="All",'Res Bill Impact'!$G$57,(VLOOKUP($D$3,'Res Bill Impact'!$B$53:$J$56,6,FALSE)))</f>
        <v>95.14873255268445</v>
      </c>
      <c r="G46" s="161">
        <f>IF($D$3="All",'Res Bill Impact'!$I$57,(VLOOKUP($D$3,'Res Bill Impact'!$B$53:$J$56,8,FALSE)))</f>
        <v>98.612963095281145</v>
      </c>
      <c r="H46" s="66">
        <f t="shared" si="5"/>
        <v>0.10921417170844672</v>
      </c>
      <c r="I46" s="66">
        <f t="shared" si="5"/>
        <v>0.14207726054604897</v>
      </c>
      <c r="J46" s="68">
        <f t="shared" si="5"/>
        <v>3.6408583169287301E-2</v>
      </c>
      <c r="K46" s="470"/>
      <c r="L46" s="528" t="s">
        <v>154</v>
      </c>
      <c r="M46" s="539"/>
      <c r="N46" s="160">
        <f>IF($D$3="All",'Res Bill Impact'!$N$57,(VLOOKUP($D$3,'Res Bill Impact'!$M$53:$U$56,2,FALSE)))</f>
        <v>84.468624920400003</v>
      </c>
      <c r="O46" s="160">
        <f>IF($D$3="All",'Res Bill Impact'!$P$57,(VLOOKUP($D$3,'Res Bill Impact'!$M$53:$U$56,4,FALSE)))</f>
        <v>82.215085948000009</v>
      </c>
      <c r="P46" s="161">
        <f>IF($D$3="All",'Res Bill Impact'!$R$57,(VLOOKUP($D$3,'Res Bill Impact'!$M$53:$U$56,6,FALSE)))</f>
        <v>90.568008842163692</v>
      </c>
      <c r="Q46" s="161">
        <f>IF($D$3="All",'Res Bill Impact'!$T$57,(VLOOKUP($D$3,'Res Bill Impact'!$M$53:$U$56,8,FALSE)))</f>
        <v>93.854946479052757</v>
      </c>
      <c r="R46" s="66">
        <f t="shared" si="6"/>
        <v>0.11112198840099574</v>
      </c>
      <c r="S46" s="66">
        <f t="shared" si="6"/>
        <v>0.14157815924944495</v>
      </c>
      <c r="T46" s="68">
        <f t="shared" si="6"/>
        <v>3.6292479860270843E-2</v>
      </c>
    </row>
    <row r="47" spans="2:24" ht="15" thickBot="1">
      <c r="B47" s="526" t="s">
        <v>113</v>
      </c>
      <c r="C47" s="538"/>
      <c r="D47" s="162">
        <f>D45*(1-'SAR and RAR'!$AD$16)+D46*'SAR and RAR'!$AD$16</f>
        <v>133.30372203591958</v>
      </c>
      <c r="E47" s="162">
        <f>E45*(1-'SAR and RAR'!$AD$16)+E46*'SAR and RAR'!$AD$16</f>
        <v>137.58594139386702</v>
      </c>
      <c r="F47" s="162">
        <f>F45*(1-'SAR and RAR'!$AD$16)+F46*'SAR and RAR'!$AD$16</f>
        <v>150.49018845727929</v>
      </c>
      <c r="G47" s="162">
        <f>G45*(1-'SAR and RAR'!$AD$16)+G46*'SAR and RAR'!$AD$16</f>
        <v>155.56810619767663</v>
      </c>
      <c r="H47" s="69">
        <f t="shared" si="5"/>
        <v>0.1670199737990643</v>
      </c>
      <c r="I47" s="69">
        <f t="shared" si="5"/>
        <v>0.13069769063346448</v>
      </c>
      <c r="J47" s="70">
        <f t="shared" si="5"/>
        <v>3.3742516987005144E-2</v>
      </c>
      <c r="K47" s="470"/>
      <c r="L47" s="526" t="s">
        <v>113</v>
      </c>
      <c r="M47" s="538"/>
      <c r="N47" s="162">
        <f>N45*(1-'SAR and RAR'!$AD$16)+N46*'SAR and RAR'!$AD$16</f>
        <v>120.83964573227894</v>
      </c>
      <c r="O47" s="162">
        <f>O45*(1-'SAR and RAR'!$AD$16)+O46*'SAR and RAR'!$AD$16</f>
        <v>126.56763788337383</v>
      </c>
      <c r="P47" s="162">
        <f>P45*(1-'SAR and RAR'!$AD$16)+P46*'SAR and RAR'!$AD$16</f>
        <v>138.26593711622536</v>
      </c>
      <c r="Q47" s="162">
        <f>Q45*(1-'SAR and RAR'!$AD$16)+Q46*'SAR and RAR'!$AD$16</f>
        <v>142.86930536507117</v>
      </c>
      <c r="R47" s="69">
        <f t="shared" si="6"/>
        <v>0.18230490084023487</v>
      </c>
      <c r="S47" s="69">
        <f t="shared" si="6"/>
        <v>0.12879806998309129</v>
      </c>
      <c r="T47" s="70">
        <f t="shared" si="6"/>
        <v>3.3293581520199345E-2</v>
      </c>
    </row>
    <row r="48" spans="2:24" ht="15" thickBot="1">
      <c r="D48" s="480"/>
      <c r="E48" s="480"/>
      <c r="F48" s="480"/>
      <c r="G48" s="480"/>
      <c r="N48" s="480"/>
      <c r="O48" s="480"/>
      <c r="P48" s="480"/>
      <c r="Q48" s="480"/>
    </row>
    <row r="49" spans="2:20">
      <c r="B49" s="505" t="s">
        <v>286</v>
      </c>
      <c r="C49" s="506"/>
      <c r="D49" s="506"/>
      <c r="E49" s="506"/>
      <c r="F49" s="506"/>
      <c r="G49" s="506"/>
      <c r="H49" s="506"/>
      <c r="I49" s="506"/>
      <c r="J49" s="507"/>
      <c r="L49" s="533" t="s">
        <v>293</v>
      </c>
      <c r="M49" s="534"/>
      <c r="N49" s="534"/>
      <c r="O49" s="534"/>
      <c r="P49" s="534"/>
      <c r="Q49" s="534"/>
      <c r="R49" s="534"/>
      <c r="S49" s="534"/>
      <c r="T49" s="535"/>
    </row>
    <row r="50" spans="2:20" ht="28.8">
      <c r="B50" s="64"/>
      <c r="C50" s="65"/>
      <c r="D50" s="54" t="str">
        <f>$D$31</f>
        <v>6/1/2025</v>
      </c>
      <c r="E50" s="179" t="str">
        <f>$E$31</f>
        <v>10/1/25</v>
      </c>
      <c r="F50" s="55" t="str">
        <f>$D$2&amp;" Authorized"</f>
        <v>2029 Authorized</v>
      </c>
      <c r="G50" s="55" t="str">
        <f>$D$2&amp;" w/Pending"</f>
        <v>2029 w/Pending</v>
      </c>
      <c r="H50" s="55" t="str">
        <f>$H$31</f>
        <v>% Change over 6/1/2025</v>
      </c>
      <c r="I50" s="55" t="str">
        <f>$I$31</f>
        <v>% Change over 10/1/25</v>
      </c>
      <c r="J50" s="56" t="s">
        <v>148</v>
      </c>
      <c r="L50" s="64"/>
      <c r="M50" s="65"/>
      <c r="N50" s="54" t="str">
        <f>$D$31</f>
        <v>6/1/2025</v>
      </c>
      <c r="O50" s="179" t="str">
        <f>$E$31</f>
        <v>10/1/25</v>
      </c>
      <c r="P50" s="55" t="str">
        <f>$D$2&amp;" Authorized"</f>
        <v>2029 Authorized</v>
      </c>
      <c r="Q50" s="55" t="str">
        <f>$D$2&amp;" w/Pending"</f>
        <v>2029 w/Pending</v>
      </c>
      <c r="R50" s="55" t="str">
        <f>$H$31</f>
        <v>% Change over 6/1/2025</v>
      </c>
      <c r="S50" s="55" t="str">
        <f>$I$31</f>
        <v>% Change over 10/1/25</v>
      </c>
      <c r="T50" s="56" t="s">
        <v>148</v>
      </c>
    </row>
    <row r="51" spans="2:20">
      <c r="B51" s="528" t="s">
        <v>153</v>
      </c>
      <c r="C51" s="539"/>
      <c r="D51" s="160">
        <f>IF($D$3="All",'Res Bill Impact'!$D$47,(VLOOKUP($D$3,'Res Bill Impact'!$B$43:$J$46,3,FALSE)))</f>
        <v>129.31507909929448</v>
      </c>
      <c r="E51" s="160">
        <f>IF($D$3="All",'Res Bill Impact'!$F$47,(VLOOKUP($D$3,'Res Bill Impact'!$B$43:$J$46,5,FALSE)))</f>
        <v>137.57740870962724</v>
      </c>
      <c r="F51" s="161">
        <f>IF($D$3="All",'Res Bill Impact'!$H$47,(VLOOKUP($D$3,'Res Bill Impact'!$B$43:$J$46,7,FALSE)))</f>
        <v>150.04531859464737</v>
      </c>
      <c r="G51" s="161">
        <f>IF($D$3="All",'Res Bill Impact'!$J$47,(VLOOKUP($D$3,'Res Bill Impact'!$B$43:$J$46,9,FALSE)))</f>
        <v>154.95153439164079</v>
      </c>
      <c r="H51" s="66">
        <f t="shared" ref="H51:J53" si="7">$G51/D51-1</f>
        <v>0.1982479960644139</v>
      </c>
      <c r="I51" s="66">
        <f t="shared" si="7"/>
        <v>0.12628618204812692</v>
      </c>
      <c r="J51" s="68">
        <f t="shared" si="7"/>
        <v>3.2698226395504681E-2</v>
      </c>
      <c r="K51" s="470"/>
      <c r="L51" s="528" t="s">
        <v>153</v>
      </c>
      <c r="M51" s="539"/>
      <c r="N51" s="160">
        <f>IF($D$3="All",'Res Bill Impact'!$O$47,(VLOOKUP($D$3,'Res Bill Impact'!$M$43:$U$46,3,FALSE)))</f>
        <v>116.04128144130598</v>
      </c>
      <c r="O51" s="160">
        <f>IF($D$3="All",'Res Bill Impact'!$Q$47,(VLOOKUP($D$3,'Res Bill Impact'!$M$43:$U$46,5,FALSE)))</f>
        <v>125.89880310718995</v>
      </c>
      <c r="P51" s="161">
        <f>IF($D$3="All",'Res Bill Impact'!$S$47,(VLOOKUP($D$3,'Res Bill Impact'!$M$43:$U$46,7,FALSE)))</f>
        <v>137.08692014682413</v>
      </c>
      <c r="Q51" s="161">
        <f>IF($D$3="All",'Res Bill Impact'!$U$47,(VLOOKUP($D$3,'Res Bill Impact'!$M$43:$U$46,9,FALSE)))</f>
        <v>141.48952788658775</v>
      </c>
      <c r="R51" s="66">
        <f t="shared" ref="R51:T53" si="8">$Q51/N51-1</f>
        <v>0.21930339039002744</v>
      </c>
      <c r="S51" s="66">
        <f t="shared" si="8"/>
        <v>0.12383536931740236</v>
      </c>
      <c r="T51" s="266">
        <f t="shared" si="8"/>
        <v>3.2115447156069399E-2</v>
      </c>
    </row>
    <row r="52" spans="2:20">
      <c r="B52" s="528" t="s">
        <v>154</v>
      </c>
      <c r="C52" s="539"/>
      <c r="D52" s="160">
        <f>IF($D$3="All",'Res Bill Impact'!$D$57,(VLOOKUP($D$3,'Res Bill Impact'!$B$53:$J$56,3,FALSE)))</f>
        <v>78.669621078329982</v>
      </c>
      <c r="E52" s="160">
        <f>IF($D$3="All",'Res Bill Impact'!$F$57,(VLOOKUP($D$3,'Res Bill Impact'!$B$53:$J$56,5,FALSE)))</f>
        <v>77.086639899769992</v>
      </c>
      <c r="F52" s="161">
        <f>IF($D$3="All",'Res Bill Impact'!$H$57,(VLOOKUP($D$3,'Res Bill Impact'!$B$53:$J$56,7,FALSE)))</f>
        <v>84.876725931754279</v>
      </c>
      <c r="G52" s="161">
        <f>IF($D$3="All",'Res Bill Impact'!$J$57,(VLOOKUP($D$3,'Res Bill Impact'!$B$53:$J$56,9,FALSE)))</f>
        <v>87.94218305347917</v>
      </c>
      <c r="H52" s="66">
        <f t="shared" si="7"/>
        <v>0.11786712390436782</v>
      </c>
      <c r="I52" s="66">
        <f t="shared" si="7"/>
        <v>0.1408226272130142</v>
      </c>
      <c r="J52" s="68">
        <f t="shared" si="7"/>
        <v>3.6116580700694012E-2</v>
      </c>
      <c r="K52" s="470"/>
      <c r="L52" s="528" t="s">
        <v>154</v>
      </c>
      <c r="M52" s="539"/>
      <c r="N52" s="160">
        <f>IF($D$3="All",'Res Bill Impact'!$O$57,(VLOOKUP($D$3,'Res Bill Impact'!$M$53:$U$56,3,FALSE)))</f>
        <v>75.129805142069998</v>
      </c>
      <c r="O52" s="160">
        <f>IF($D$3="All",'Res Bill Impact'!$Q$57,(VLOOKUP($D$3,'Res Bill Impact'!$M$53:$U$56,5,FALSE)))</f>
        <v>73.884139907830004</v>
      </c>
      <c r="P52" s="161">
        <f>IF($D$3="All",'Res Bill Impact'!$S$57,(VLOOKUP($D$3,'Res Bill Impact'!$M$53:$U$56,7,FALSE)))</f>
        <v>81.323703459816599</v>
      </c>
      <c r="Q52" s="161">
        <f>IF($D$3="All",'Res Bill Impact'!$U$57,(VLOOKUP($D$3,'Res Bill Impact'!$M$53:$U$56,9,FALSE)))</f>
        <v>84.251227363830949</v>
      </c>
      <c r="R52" s="66">
        <f t="shared" si="8"/>
        <v>0.12140883640670164</v>
      </c>
      <c r="S52" s="66">
        <f t="shared" si="8"/>
        <v>0.14031546511786996</v>
      </c>
      <c r="T52" s="68">
        <f t="shared" si="8"/>
        <v>3.5998408575439456E-2</v>
      </c>
    </row>
    <row r="53" spans="2:20" ht="15" thickBot="1">
      <c r="B53" s="526" t="s">
        <v>113</v>
      </c>
      <c r="C53" s="538"/>
      <c r="D53" s="162">
        <f>D51*(1-'SAR and RAR'!$AD$16)+D52*'SAR and RAR'!$AD$16</f>
        <v>118.0056500526521</v>
      </c>
      <c r="E53" s="162">
        <f>E51*(1-'SAR and RAR'!$AD$16)+E52*'SAR and RAR'!$AD$16</f>
        <v>124.06946378100719</v>
      </c>
      <c r="F53" s="162">
        <f>F51*(1-'SAR and RAR'!$AD$16)+F52*'SAR and RAR'!$AD$16</f>
        <v>135.49278805014245</v>
      </c>
      <c r="G53" s="162">
        <f>G51*(1-'SAR and RAR'!$AD$16)+G52*'SAR and RAR'!$AD$16</f>
        <v>139.98795159401334</v>
      </c>
      <c r="H53" s="69">
        <f t="shared" si="7"/>
        <v>0.18628177152155945</v>
      </c>
      <c r="I53" s="69">
        <f t="shared" si="7"/>
        <v>0.12830302741618671</v>
      </c>
      <c r="J53" s="70">
        <f t="shared" si="7"/>
        <v>3.3176404505067314E-2</v>
      </c>
      <c r="K53" s="470"/>
      <c r="L53" s="526" t="s">
        <v>113</v>
      </c>
      <c r="M53" s="538"/>
      <c r="N53" s="162">
        <f>N51*(1-'SAR and RAR'!$AD$16)+N52*'SAR and RAR'!$AD$16</f>
        <v>106.90550784028389</v>
      </c>
      <c r="O53" s="162">
        <f>O51*(1-'SAR and RAR'!$AD$16)+O52*'SAR and RAR'!$AD$16</f>
        <v>114.28362248043652</v>
      </c>
      <c r="P53" s="162">
        <f>P51*(1-'SAR and RAR'!$AD$16)+P52*'SAR and RAR'!$AD$16</f>
        <v>124.63466544960725</v>
      </c>
      <c r="Q53" s="162">
        <f>Q51*(1-'SAR and RAR'!$AD$16)+Q52*'SAR and RAR'!$AD$16</f>
        <v>128.70787828151262</v>
      </c>
      <c r="R53" s="69">
        <f t="shared" si="8"/>
        <v>0.20394057220888318</v>
      </c>
      <c r="S53" s="69">
        <f t="shared" si="8"/>
        <v>0.12621454840167745</v>
      </c>
      <c r="T53" s="70">
        <f t="shared" si="8"/>
        <v>3.2681219283669183E-2</v>
      </c>
    </row>
    <row r="54" spans="2:20" ht="15" thickBot="1">
      <c r="D54" s="480"/>
      <c r="E54" s="480"/>
      <c r="F54" s="480"/>
      <c r="G54" s="480"/>
      <c r="N54" s="480"/>
      <c r="O54" s="480"/>
      <c r="P54" s="480"/>
      <c r="Q54" s="480"/>
    </row>
    <row r="55" spans="2:20">
      <c r="B55" s="505" t="s">
        <v>304</v>
      </c>
      <c r="C55" s="506"/>
      <c r="D55" s="506"/>
      <c r="E55" s="506"/>
      <c r="F55" s="506"/>
      <c r="G55" s="506"/>
      <c r="H55" s="506"/>
      <c r="I55" s="506"/>
      <c r="J55" s="507"/>
      <c r="L55" s="530" t="s">
        <v>303</v>
      </c>
      <c r="M55" s="531"/>
      <c r="N55" s="531"/>
      <c r="O55" s="531"/>
      <c r="P55" s="531"/>
      <c r="Q55" s="531"/>
      <c r="R55" s="531"/>
      <c r="S55" s="531"/>
      <c r="T55" s="532"/>
    </row>
    <row r="56" spans="2:20" ht="28.8">
      <c r="B56" s="64"/>
      <c r="C56" s="243"/>
      <c r="D56" s="54" t="str">
        <f>D50</f>
        <v>6/1/2025</v>
      </c>
      <c r="E56" s="179" t="str">
        <f>E50</f>
        <v>10/1/25</v>
      </c>
      <c r="F56" s="55" t="str">
        <f>$D$2&amp;" Authorized"</f>
        <v>2029 Authorized</v>
      </c>
      <c r="G56" s="55" t="str">
        <f>$D$2&amp;" w/Pending"</f>
        <v>2029 w/Pending</v>
      </c>
      <c r="H56" s="55" t="str">
        <f>$H$31</f>
        <v>% Change over 6/1/2025</v>
      </c>
      <c r="I56" s="55" t="str">
        <f>$I$31</f>
        <v>% Change over 10/1/25</v>
      </c>
      <c r="J56" s="56" t="s">
        <v>148</v>
      </c>
      <c r="L56" s="64"/>
      <c r="M56" s="243"/>
      <c r="N56" s="54" t="str">
        <f>N50</f>
        <v>6/1/2025</v>
      </c>
      <c r="O56" s="179" t="str">
        <f>O50</f>
        <v>10/1/25</v>
      </c>
      <c r="P56" s="55" t="str">
        <f>$D$2&amp;" Authorized"</f>
        <v>2029 Authorized</v>
      </c>
      <c r="Q56" s="55" t="str">
        <f>$D$2&amp;" w/Pending"</f>
        <v>2029 w/Pending</v>
      </c>
      <c r="R56" s="55" t="str">
        <f>$H$31</f>
        <v>% Change over 6/1/2025</v>
      </c>
      <c r="S56" s="55" t="str">
        <f>$I$31</f>
        <v>% Change over 10/1/25</v>
      </c>
      <c r="T56" s="56" t="s">
        <v>148</v>
      </c>
    </row>
    <row r="57" spans="2:20">
      <c r="B57" s="528" t="s">
        <v>291</v>
      </c>
      <c r="C57" s="529"/>
      <c r="D57" s="160">
        <f>((D63*5)+(D69*7)+(I6*2))/12</f>
        <v>102.93672233897088</v>
      </c>
      <c r="E57" s="160">
        <f>((E63*5)+(E69*7)+(I6*2))/12</f>
        <v>112.73916533677874</v>
      </c>
      <c r="F57" s="160">
        <f>((F63*5)+(F69*7)+(I7*2))/12</f>
        <v>129.30688012547697</v>
      </c>
      <c r="G57" s="160">
        <f>((G63*5)+(G69*7)+(I7*2))/12</f>
        <v>133.72687640534025</v>
      </c>
      <c r="H57" s="66">
        <f t="shared" ref="H57:J59" si="9">$G57/D57-1</f>
        <v>0.29911729620627825</v>
      </c>
      <c r="I57" s="67">
        <f t="shared" si="9"/>
        <v>0.18616166800478084</v>
      </c>
      <c r="J57" s="68">
        <f t="shared" si="9"/>
        <v>3.4182220432309673E-2</v>
      </c>
      <c r="K57" s="471"/>
      <c r="L57" s="528" t="s">
        <v>291</v>
      </c>
      <c r="M57" s="529"/>
      <c r="N57" s="160">
        <f>((N63*5)+(N69*7)+(I6*2))/12</f>
        <v>84.159060122118788</v>
      </c>
      <c r="O57" s="160">
        <f>((O63*5)+(O69*7)+(I6*2))/12</f>
        <v>96.218127664155631</v>
      </c>
      <c r="P57" s="160">
        <f>((P63*5)+(P69*7)+(I7*2))/12</f>
        <v>110.97539465355823</v>
      </c>
      <c r="Q57" s="160">
        <f>((Q63*5)+(Q69*7)+(I7*2))/12</f>
        <v>114.68296618264526</v>
      </c>
      <c r="R57" s="66">
        <f t="shared" ref="R57:T59" si="10">$Q57/N57-1</f>
        <v>0.36269304833294047</v>
      </c>
      <c r="S57" s="66">
        <f t="shared" si="10"/>
        <v>0.1919060260966643</v>
      </c>
      <c r="T57" s="266">
        <f t="shared" si="10"/>
        <v>3.340895106218178E-2</v>
      </c>
    </row>
    <row r="58" spans="2:20">
      <c r="B58" s="528" t="s">
        <v>292</v>
      </c>
      <c r="C58" s="529"/>
      <c r="D58" s="160">
        <f>((D64*5)+(D70*7)+(I6*2))/12</f>
        <v>58.99393923744222</v>
      </c>
      <c r="E58" s="160">
        <f>((E64*5)+(E70*7)+(I6*2))/12</f>
        <v>57.993459237442238</v>
      </c>
      <c r="F58" s="160">
        <f>((F64*5)+(F70*7)+(I7*2))/12</f>
        <v>70.51364726573712</v>
      </c>
      <c r="G58" s="160">
        <f>((G64*5)+(G70*7)+(I7*2))/12</f>
        <v>73.340911490767084</v>
      </c>
      <c r="H58" s="66">
        <f t="shared" si="9"/>
        <v>0.2431940032954969</v>
      </c>
      <c r="I58" s="66">
        <f t="shared" si="9"/>
        <v>0.26464108979062395</v>
      </c>
      <c r="J58" s="68">
        <f t="shared" si="9"/>
        <v>4.0095277079841951E-2</v>
      </c>
      <c r="K58" s="471"/>
      <c r="L58" s="528" t="s">
        <v>292</v>
      </c>
      <c r="M58" s="529"/>
      <c r="N58" s="160">
        <f>((N64*5)+(N70*7)+(I6*2))/12</f>
        <v>47.299071737442233</v>
      </c>
      <c r="O58" s="160">
        <f>((O64*5)+(O70*7)+(I6*2))/12</f>
        <v>47.413018404108897</v>
      </c>
      <c r="P58" s="160">
        <f>((P64*5)+(P70*7)+(I7*2))/12</f>
        <v>58.775147925080539</v>
      </c>
      <c r="Q58" s="160">
        <f>((Q64*5)+(Q70*7)+(I7*2))/12</f>
        <v>61.146707465454561</v>
      </c>
      <c r="R58" s="66">
        <f t="shared" si="10"/>
        <v>0.29276760027936133</v>
      </c>
      <c r="S58" s="66">
        <f t="shared" si="10"/>
        <v>0.28966072027499257</v>
      </c>
      <c r="T58" s="68">
        <f t="shared" si="10"/>
        <v>4.0349699219762059E-2</v>
      </c>
    </row>
    <row r="59" spans="2:20" ht="15" thickBot="1">
      <c r="B59" s="526" t="s">
        <v>113</v>
      </c>
      <c r="C59" s="527"/>
      <c r="D59" s="162">
        <f>D57*(1-'SAR and RAR'!$AD$16)+D58*'SAR and RAR'!$AD$16</f>
        <v>93.1240400764664</v>
      </c>
      <c r="E59" s="162">
        <f>E57*(1-'SAR and RAR'!$AD$16)+E58*'SAR and RAR'!$AD$16</f>
        <v>100.5141267462996</v>
      </c>
      <c r="F59" s="162">
        <f>F57*(1-'SAR and RAR'!$AD$16)+F58*'SAR and RAR'!$AD$16</f>
        <v>116.17800497195954</v>
      </c>
      <c r="G59" s="162">
        <f>G57*(1-'SAR and RAR'!$AD$16)+G58*'SAR and RAR'!$AD$16</f>
        <v>120.24233480376753</v>
      </c>
      <c r="H59" s="69">
        <f t="shared" si="9"/>
        <v>0.29120616658205178</v>
      </c>
      <c r="I59" s="69">
        <f t="shared" si="9"/>
        <v>0.19627298864429754</v>
      </c>
      <c r="J59" s="70">
        <f t="shared" si="9"/>
        <v>3.4983642840044959E-2</v>
      </c>
      <c r="K59" s="471"/>
      <c r="L59" s="526" t="s">
        <v>113</v>
      </c>
      <c r="M59" s="527"/>
      <c r="N59" s="162">
        <f>((N65*5)+(N71*7)+(I6*2))/12</f>
        <v>75.928007633186766</v>
      </c>
      <c r="O59" s="162">
        <f>((O65*5)+(O71*7)+(I6*2))/12</f>
        <v>85.319659334347151</v>
      </c>
      <c r="P59" s="162">
        <f>((P65*5)+(P71*7)+(I7*2))/12</f>
        <v>99.318772131780108</v>
      </c>
      <c r="Q59" s="162">
        <f>((Q65*5)+(Q71*7)+(I7*2))/12</f>
        <v>102.72800431549958</v>
      </c>
      <c r="R59" s="69">
        <f t="shared" si="10"/>
        <v>0.35296588857942068</v>
      </c>
      <c r="S59" s="69">
        <f t="shared" si="10"/>
        <v>0.2040367380386896</v>
      </c>
      <c r="T59" s="70">
        <f t="shared" si="10"/>
        <v>3.4326161213470874E-2</v>
      </c>
    </row>
    <row r="60" spans="2:20" ht="15" thickBot="1">
      <c r="B60"/>
      <c r="C60"/>
      <c r="D60" s="480"/>
      <c r="E60" s="480"/>
      <c r="F60" s="480"/>
      <c r="G60" s="480"/>
      <c r="H60"/>
      <c r="I60"/>
      <c r="J60"/>
      <c r="L60"/>
      <c r="M60"/>
      <c r="N60" s="480"/>
      <c r="O60" s="480"/>
      <c r="P60" s="480"/>
      <c r="Q60" s="480"/>
      <c r="R60"/>
      <c r="S60"/>
      <c r="T60"/>
    </row>
    <row r="61" spans="2:20">
      <c r="B61" s="505" t="s">
        <v>295</v>
      </c>
      <c r="C61" s="506"/>
      <c r="D61" s="506"/>
      <c r="E61" s="506"/>
      <c r="F61" s="506"/>
      <c r="G61" s="506"/>
      <c r="H61" s="506"/>
      <c r="I61" s="506"/>
      <c r="J61" s="507"/>
      <c r="L61" s="530" t="s">
        <v>301</v>
      </c>
      <c r="M61" s="531"/>
      <c r="N61" s="531"/>
      <c r="O61" s="531"/>
      <c r="P61" s="531"/>
      <c r="Q61" s="531"/>
      <c r="R61" s="531"/>
      <c r="S61" s="531"/>
      <c r="T61" s="532"/>
    </row>
    <row r="62" spans="2:20" ht="28.8">
      <c r="B62" s="64"/>
      <c r="C62" s="243"/>
      <c r="D62" s="54" t="str">
        <f>D56</f>
        <v>6/1/2025</v>
      </c>
      <c r="E62" s="179" t="str">
        <f>E56</f>
        <v>10/1/25</v>
      </c>
      <c r="F62" s="55" t="str">
        <f>$D$2&amp;" Authorized"</f>
        <v>2029 Authorized</v>
      </c>
      <c r="G62" s="55" t="str">
        <f>$D$2&amp;" w/Pending"</f>
        <v>2029 w/Pending</v>
      </c>
      <c r="H62" s="55" t="str">
        <f>$H$31</f>
        <v>% Change over 6/1/2025</v>
      </c>
      <c r="I62" s="55" t="str">
        <f>$I$31</f>
        <v>% Change over 10/1/25</v>
      </c>
      <c r="J62" s="56" t="s">
        <v>148</v>
      </c>
      <c r="L62" s="64"/>
      <c r="M62" s="243"/>
      <c r="N62" s="54" t="str">
        <f>N56</f>
        <v>6/1/2025</v>
      </c>
      <c r="O62" s="179" t="str">
        <f>O56</f>
        <v>10/1/25</v>
      </c>
      <c r="P62" s="55" t="str">
        <f>$D$2&amp;" Authorized"</f>
        <v>2029 Authorized</v>
      </c>
      <c r="Q62" s="55" t="str">
        <f>$D$2&amp;" w/Pending"</f>
        <v>2029 w/Pending</v>
      </c>
      <c r="R62" s="55" t="str">
        <f>$H$31</f>
        <v>% Change over 6/1/2025</v>
      </c>
      <c r="S62" s="55" t="str">
        <f>$I$31</f>
        <v>% Change over 10/1/25</v>
      </c>
      <c r="T62" s="56" t="s">
        <v>148</v>
      </c>
    </row>
    <row r="63" spans="2:20">
      <c r="B63" s="528" t="s">
        <v>291</v>
      </c>
      <c r="C63" s="529"/>
      <c r="D63" s="160">
        <f>IF($D$3="All",'Res Bill Impact'!C67,(VLOOKUP($D$3,'Res Bill Impact'!$B$63:$J$66,2,FALSE)))</f>
        <v>115.00874401247803</v>
      </c>
      <c r="E63" s="160">
        <f>IF($D$3="All",'Res Bill Impact'!E67,(VLOOKUP($D$3,'Res Bill Impact'!$B$63:$J$66,4,FALSE)))</f>
        <v>124.99035190793732</v>
      </c>
      <c r="F63" s="160">
        <f>IF($D$3="All",'Res Bill Impact'!G67,(VLOOKUP($D$3,'Res Bill Impact'!$B$63:$J$66,6,FALSE)))</f>
        <v>136.07891687904862</v>
      </c>
      <c r="G63" s="160">
        <f>IF($D$3="All",'Res Bill Impact'!I67,(VLOOKUP($D$3,'Res Bill Impact'!$B$63:$J$66,8,FALSE)))</f>
        <v>140.44235013522081</v>
      </c>
      <c r="H63" s="66">
        <f t="shared" ref="H63:I65" si="11">$G63/D63-1</f>
        <v>0.22114497763738128</v>
      </c>
      <c r="I63" s="67">
        <f t="shared" si="11"/>
        <v>0.12362552782205771</v>
      </c>
      <c r="J63" s="68">
        <f t="shared" ref="J63:J65" si="12">$G63/F63-1</f>
        <v>3.2065461397304817E-2</v>
      </c>
      <c r="K63" s="472"/>
      <c r="L63" s="528" t="s">
        <v>291</v>
      </c>
      <c r="M63" s="529"/>
      <c r="N63" s="160">
        <f>IF($D$3="All",'Res Bill Impact'!N67,(VLOOKUP($D$3,'Res Bill Impact'!$M$63:$U$66,2,FALSE)))</f>
        <v>77.098454319476019</v>
      </c>
      <c r="O63" s="160">
        <f>IF($D$3="All",'Res Bill Impact'!P67,(VLOOKUP($D$3,'Res Bill Impact'!$M$63:$U$66,4,FALSE)))</f>
        <v>91.635969612357982</v>
      </c>
      <c r="P63" s="160">
        <f>IF($D$3="All",'Res Bill Impact'!R67,(VLOOKUP($D$3,'Res Bill Impact'!$M$63:$U$66,6,FALSE)))</f>
        <v>99.06941501891778</v>
      </c>
      <c r="Q63" s="160">
        <f>IF($D$3="All",'Res Bill Impact'!T67,(VLOOKUP($D$3,'Res Bill Impact'!$M$63:$U$66,8,FALSE)))</f>
        <v>101.9945313869443</v>
      </c>
      <c r="R63" s="66">
        <f t="shared" ref="R63:T65" si="13">$Q63/N63-1</f>
        <v>0.32291279101790282</v>
      </c>
      <c r="S63" s="66">
        <f t="shared" si="13"/>
        <v>0.11304034669361296</v>
      </c>
      <c r="T63" s="266">
        <f t="shared" si="13"/>
        <v>2.9525927527360052E-2</v>
      </c>
    </row>
    <row r="64" spans="2:20">
      <c r="B64" s="528" t="s">
        <v>292</v>
      </c>
      <c r="C64" s="529"/>
      <c r="D64" s="160">
        <f>IF($D$3="All",'Res Bill Impact'!C77,(VLOOKUP($D$3,'Res Bill Impact'!$B$73:$J$76,2,FALSE)))</f>
        <v>71.628299999999996</v>
      </c>
      <c r="E64" s="160">
        <f>IF($D$3="All",'Res Bill Impact'!E77,(VLOOKUP($D$3,'Res Bill Impact'!$B$73:$J$76,4,FALSE)))</f>
        <v>70.716300000000004</v>
      </c>
      <c r="F64" s="160">
        <f>IF($D$3="All",'Res Bill Impact'!G77,(VLOOKUP($D$3,'Res Bill Impact'!$B$73:$J$76,6,FALSE)))</f>
        <v>77.809134714040354</v>
      </c>
      <c r="G64" s="160">
        <f>IF($D$3="All",'Res Bill Impact'!I77,(VLOOKUP($D$3,'Res Bill Impact'!$B$73:$J$76,8,FALSE)))</f>
        <v>80.600218226867014</v>
      </c>
      <c r="H64" s="66">
        <f t="shared" si="11"/>
        <v>0.12525661263588583</v>
      </c>
      <c r="I64" s="66">
        <f t="shared" si="11"/>
        <v>0.13976859969861266</v>
      </c>
      <c r="J64" s="68">
        <f t="shared" si="12"/>
        <v>3.5870897717656058E-2</v>
      </c>
      <c r="K64" s="472"/>
      <c r="L64" s="528" t="s">
        <v>292</v>
      </c>
      <c r="M64" s="529"/>
      <c r="N64" s="160">
        <f>IF($D$3="All",'Res Bill Impact'!N77,(VLOOKUP($D$3,'Res Bill Impact'!$M$73:$U$76,2,FALSE)))</f>
        <v>48.017489999999995</v>
      </c>
      <c r="O64" s="160">
        <f>IF($D$3="All",'Res Bill Impact'!P77,(VLOOKUP($D$3,'Res Bill Impact'!$M$73:$U$76,4,FALSE)))</f>
        <v>49.355409999999999</v>
      </c>
      <c r="P64" s="160">
        <f>IF($D$3="All",'Res Bill Impact'!R77,(VLOOKUP($D$3,'Res Bill Impact'!$M$73:$U$76,6,FALSE)))</f>
        <v>54.110236234227052</v>
      </c>
      <c r="Q64" s="160">
        <f>IF($D$3="All",'Res Bill Impact'!T77,(VLOOKUP($D$3,'Res Bill Impact'!$M$73:$U$76,8,FALSE)))</f>
        <v>55.981295922455296</v>
      </c>
      <c r="R64" s="66">
        <f t="shared" si="13"/>
        <v>0.16585219099239268</v>
      </c>
      <c r="S64" s="66">
        <f t="shared" si="13"/>
        <v>0.13424842225918687</v>
      </c>
      <c r="T64" s="68">
        <f t="shared" si="13"/>
        <v>3.4578664194496955E-2</v>
      </c>
    </row>
    <row r="65" spans="2:20" ht="15" thickBot="1">
      <c r="B65" s="526" t="s">
        <v>113</v>
      </c>
      <c r="C65" s="527"/>
      <c r="D65" s="162">
        <f>D63*(1-'SAR and RAR'!$AD$16)+D64*'SAR and RAR'!$AD$16</f>
        <v>105.32163538038952</v>
      </c>
      <c r="E65" s="162">
        <f>E63*(1-'SAR and RAR'!$AD$16)+E64*'SAR and RAR'!$AD$16</f>
        <v>112.87063647615037</v>
      </c>
      <c r="F65" s="162">
        <f>F63*(1-'SAR and RAR'!$AD$16)+F64*'SAR and RAR'!$AD$16</f>
        <v>123.06693134846702</v>
      </c>
      <c r="G65" s="162">
        <f>G63*(1-'SAR and RAR'!$AD$16)+G64*'SAR and RAR'!$AD$16</f>
        <v>127.07924964677839</v>
      </c>
      <c r="H65" s="69">
        <f t="shared" si="11"/>
        <v>0.20658257145179171</v>
      </c>
      <c r="I65" s="69">
        <f t="shared" si="11"/>
        <v>0.12588405287880455</v>
      </c>
      <c r="J65" s="70">
        <f t="shared" si="12"/>
        <v>3.2602732954723601E-2</v>
      </c>
      <c r="K65" s="472"/>
      <c r="L65" s="526" t="s">
        <v>113</v>
      </c>
      <c r="M65" s="527"/>
      <c r="N65" s="162">
        <f>N63*(1-'SAR and RAR'!$AD$16)+N64*'SAR and RAR'!$AD$16</f>
        <v>70.604503717964832</v>
      </c>
      <c r="O65" s="162">
        <f>O63*(1-'SAR and RAR'!$AD$16)+O64*'SAR and RAR'!$AD$16</f>
        <v>82.194471644458105</v>
      </c>
      <c r="P65" s="162">
        <f>P63*(1-'SAR and RAR'!$AD$16)+P64*'SAR and RAR'!$AD$16</f>
        <v>89.029765614418523</v>
      </c>
      <c r="Q65" s="162">
        <f>Q63*(1-'SAR and RAR'!$AD$16)+Q64*'SAR and RAR'!$AD$16</f>
        <v>91.719504918101308</v>
      </c>
      <c r="R65" s="69">
        <f t="shared" si="13"/>
        <v>0.29906025944863224</v>
      </c>
      <c r="S65" s="69">
        <f t="shared" si="13"/>
        <v>0.11588411097579487</v>
      </c>
      <c r="T65" s="70">
        <f t="shared" si="13"/>
        <v>3.0211685778572583E-2</v>
      </c>
    </row>
    <row r="66" spans="2:20" ht="15" thickBot="1">
      <c r="D66" s="480"/>
      <c r="E66" s="480"/>
      <c r="F66" s="480"/>
      <c r="G66" s="480"/>
      <c r="K66" s="473"/>
      <c r="N66" s="480"/>
      <c r="O66" s="480"/>
      <c r="P66" s="480"/>
      <c r="Q66" s="480"/>
    </row>
    <row r="67" spans="2:20">
      <c r="B67" s="505" t="s">
        <v>294</v>
      </c>
      <c r="C67" s="506"/>
      <c r="D67" s="506"/>
      <c r="E67" s="506"/>
      <c r="F67" s="506"/>
      <c r="G67" s="506"/>
      <c r="H67" s="506"/>
      <c r="I67" s="506"/>
      <c r="J67" s="507"/>
      <c r="K67" s="473"/>
      <c r="L67" s="530" t="s">
        <v>302</v>
      </c>
      <c r="M67" s="531"/>
      <c r="N67" s="531"/>
      <c r="O67" s="531"/>
      <c r="P67" s="531"/>
      <c r="Q67" s="531"/>
      <c r="R67" s="531"/>
      <c r="S67" s="531"/>
      <c r="T67" s="532"/>
    </row>
    <row r="68" spans="2:20" ht="28.8">
      <c r="B68" s="64"/>
      <c r="C68" s="243"/>
      <c r="D68" s="54" t="str">
        <f>D62</f>
        <v>6/1/2025</v>
      </c>
      <c r="E68" s="179" t="str">
        <f>E62</f>
        <v>10/1/25</v>
      </c>
      <c r="F68" s="55" t="str">
        <f>$D$2&amp;" Authorized"</f>
        <v>2029 Authorized</v>
      </c>
      <c r="G68" s="55" t="str">
        <f>$D$2&amp;" w/Pending"</f>
        <v>2029 w/Pending</v>
      </c>
      <c r="H68" s="55" t="str">
        <f>$H$31</f>
        <v>% Change over 6/1/2025</v>
      </c>
      <c r="I68" s="55" t="str">
        <f>$I$31</f>
        <v>% Change over 10/1/25</v>
      </c>
      <c r="J68" s="56" t="s">
        <v>148</v>
      </c>
      <c r="K68" s="473"/>
      <c r="L68" s="64"/>
      <c r="M68" s="243"/>
      <c r="N68" s="54" t="str">
        <f>N62</f>
        <v>6/1/2025</v>
      </c>
      <c r="O68" s="179" t="str">
        <f>O62</f>
        <v>10/1/25</v>
      </c>
      <c r="P68" s="55" t="str">
        <f>$D$2&amp;" Authorized"</f>
        <v>2029 Authorized</v>
      </c>
      <c r="Q68" s="55" t="str">
        <f>$D$2&amp;" w/Pending"</f>
        <v>2029 w/Pending</v>
      </c>
      <c r="R68" s="55" t="str">
        <f>$H$31</f>
        <v>% Change over 6/1/2025</v>
      </c>
      <c r="S68" s="55" t="str">
        <f>$I$31</f>
        <v>% Change over 10/1/25</v>
      </c>
      <c r="T68" s="56" t="s">
        <v>148</v>
      </c>
    </row>
    <row r="69" spans="2:20">
      <c r="B69" s="528" t="s">
        <v>291</v>
      </c>
      <c r="C69" s="529"/>
      <c r="D69" s="160">
        <f>IF($D$3="All",'Res Bill Impact'!D67,(VLOOKUP($D$3,'Res Bill Impact'!$B$63:$J$66,3,FALSE)))</f>
        <v>117.56449387942199</v>
      </c>
      <c r="E69" s="160">
        <f>IF($D$3="All",'Res Bill Impact'!F67,(VLOOKUP($D$3,'Res Bill Impact'!$B$63:$J$66,5,FALSE)))</f>
        <v>127.23896195033593</v>
      </c>
      <c r="F69" s="160">
        <f>IF($D$3="All",'Res Bill Impact'!H67,(VLOOKUP($D$3,'Res Bill Impact'!$B$63:$J$66,7,FALSE)))</f>
        <v>138.57393947636081</v>
      </c>
      <c r="G69" s="160">
        <f>IF($D$3="All",'Res Bill Impact'!J67,(VLOOKUP($D$3,'Res Bill Impact'!$B$63:$J$66,9,FALSE)))</f>
        <v>143.03433791600347</v>
      </c>
      <c r="H69" s="66">
        <f t="shared" ref="H69:I71" si="14">$G69/D69-1</f>
        <v>0.21664571671362087</v>
      </c>
      <c r="I69" s="67">
        <f t="shared" si="14"/>
        <v>0.1241394595142391</v>
      </c>
      <c r="J69" s="68">
        <f t="shared" ref="J69:J71" si="15">$G69/F69-1</f>
        <v>3.2187859106102445E-2</v>
      </c>
      <c r="K69" s="472"/>
      <c r="L69" s="528" t="s">
        <v>291</v>
      </c>
      <c r="M69" s="529"/>
      <c r="N69" s="160">
        <f>IF($D$3="All",'Res Bill Impact'!O67,(VLOOKUP($D$3,'Res Bill Impact'!$M$63:$U$66,3,FALSE)))</f>
        <v>112.45299414553408</v>
      </c>
      <c r="O69" s="160">
        <f>IF($D$3="All",'Res Bill Impact'!Q67,(VLOOKUP($D$3,'Res Bill Impact'!$M$63:$U$66,5,FALSE)))</f>
        <v>122.74174186553873</v>
      </c>
      <c r="P69" s="160">
        <f>IF($D$3="All",'Res Bill Impact'!S67,(VLOOKUP($D$3,'Res Bill Impact'!$M$63:$U$66,7,FALSE)))</f>
        <v>133.58389428173643</v>
      </c>
      <c r="Q69" s="160">
        <f>IF($D$3="All",'Res Bill Impact'!U67,(VLOOKUP($D$3,'Res Bill Impact'!$M$63:$U$66,9,FALSE)))</f>
        <v>137.85036235443809</v>
      </c>
      <c r="R69" s="66">
        <f t="shared" ref="R69:T71" si="16">$Q69/N69-1</f>
        <v>0.22584875042131225</v>
      </c>
      <c r="S69" s="66">
        <f t="shared" si="16"/>
        <v>0.12309276582900841</v>
      </c>
      <c r="T69" s="266">
        <f t="shared" si="16"/>
        <v>3.1938491504847288E-2</v>
      </c>
    </row>
    <row r="70" spans="2:20">
      <c r="B70" s="528" t="s">
        <v>292</v>
      </c>
      <c r="C70" s="529"/>
      <c r="D70" s="160">
        <f>IF($D$3="All",'Res Bill Impact'!D77,(VLOOKUP($D$3,'Res Bill Impact'!$B$73:$J$76,3,FALSE)))</f>
        <v>73.220039999999997</v>
      </c>
      <c r="E70" s="160">
        <f>IF($D$3="All",'Res Bill Impact'!F77,(VLOOKUP($D$3,'Res Bill Impact'!$B$73:$J$76,5,FALSE)))</f>
        <v>72.156360000000006</v>
      </c>
      <c r="F70" s="160">
        <f>IF($D$3="All",'Res Bill Impact'!H77,(VLOOKUP($D$3,'Res Bill Impact'!$B$73:$J$76,7,FALSE)))</f>
        <v>79.406813263241247</v>
      </c>
      <c r="G70" s="160">
        <f>IF($D$3="All",'Res Bill Impact'!J77,(VLOOKUP($D$3,'Res Bill Impact'!$B$73:$J$76,9,FALSE)))</f>
        <v>82.259920854130726</v>
      </c>
      <c r="H70" s="66">
        <f t="shared" si="14"/>
        <v>0.12346183987513148</v>
      </c>
      <c r="I70" s="66">
        <f t="shared" si="14"/>
        <v>0.14002315047669689</v>
      </c>
      <c r="J70" s="68">
        <f t="shared" si="15"/>
        <v>3.5930261820621867E-2</v>
      </c>
      <c r="K70" s="472"/>
      <c r="L70" s="528" t="s">
        <v>292</v>
      </c>
      <c r="M70" s="529"/>
      <c r="N70" s="160">
        <f>IF($D$3="All",'Res Bill Impact'!O77,(VLOOKUP($D$3,'Res Bill Impact'!$M$73:$U$76,3,FALSE)))</f>
        <v>70.036560000000009</v>
      </c>
      <c r="O70" s="160">
        <f>IF($D$3="All",'Res Bill Impact'!Q77,(VLOOKUP($D$3,'Res Bill Impact'!$M$73:$U$76,5,FALSE)))</f>
        <v>69.276240000000001</v>
      </c>
      <c r="P70" s="160">
        <f>IF($D$3="All",'Res Bill Impact'!S77,(VLOOKUP($D$3,'Res Bill Impact'!$M$73:$U$76,7,FALSE)))</f>
        <v>76.211456164839461</v>
      </c>
      <c r="Q70" s="160">
        <f>IF($D$3="All",'Res Bill Impact'!U77,(VLOOKUP($D$3,'Res Bill Impact'!$M$73:$U$76,9,FALSE)))</f>
        <v>78.940515599603316</v>
      </c>
      <c r="R70" s="66">
        <f t="shared" si="16"/>
        <v>0.12713296597667423</v>
      </c>
      <c r="S70" s="66">
        <f t="shared" si="16"/>
        <v>0.13950346611772391</v>
      </c>
      <c r="T70" s="68">
        <f t="shared" si="16"/>
        <v>3.5809044625274122E-2</v>
      </c>
    </row>
    <row r="71" spans="2:20" ht="15" thickBot="1">
      <c r="B71" s="526" t="s">
        <v>113</v>
      </c>
      <c r="C71" s="526"/>
      <c r="D71" s="162">
        <f>D69*(1-'SAR and RAR'!$AD$16)+D70*'SAR and RAR'!$AD$16</f>
        <v>107.66211616662039</v>
      </c>
      <c r="E71" s="162">
        <f>E69*(1-'SAR and RAR'!$AD$16)+E70*'SAR and RAR'!$AD$16</f>
        <v>114.93869253221952</v>
      </c>
      <c r="F71" s="162">
        <f>F69*(1-'SAR and RAR'!$AD$16)+F70*'SAR and RAR'!$AD$16</f>
        <v>125.3615717350321</v>
      </c>
      <c r="G71" s="162">
        <f>G69*(1-'SAR and RAR'!$AD$16)+G70*'SAR and RAR'!$AD$16</f>
        <v>129.4630526621948</v>
      </c>
      <c r="H71" s="69">
        <f t="shared" si="14"/>
        <v>0.20249403663805721</v>
      </c>
      <c r="I71" s="69">
        <f t="shared" si="14"/>
        <v>0.12636615059723089</v>
      </c>
      <c r="J71" s="70">
        <f t="shared" si="15"/>
        <v>3.2717210468864444E-2</v>
      </c>
      <c r="K71" s="472"/>
      <c r="L71" s="526" t="s">
        <v>113</v>
      </c>
      <c r="M71" s="526"/>
      <c r="N71" s="162">
        <f>N69*(1-'SAR and RAR'!$AD$16)+N70*'SAR and RAR'!$AD$16</f>
        <v>102.98115459415864</v>
      </c>
      <c r="O71" s="162">
        <f>O69*(1-'SAR and RAR'!$AD$16)+O70*'SAR and RAR'!$AD$16</f>
        <v>110.80258042008123</v>
      </c>
      <c r="P71" s="162">
        <f>P69*(1-'SAR and RAR'!$AD$16)+P70*'SAR and RAR'!$AD$16</f>
        <v>120.77229096190197</v>
      </c>
      <c r="Q71" s="162">
        <f>Q69*(1-'SAR and RAR'!$AD$16)+Q70*'SAR and RAR'!$AD$16</f>
        <v>124.69544663136195</v>
      </c>
      <c r="R71" s="69">
        <f t="shared" si="16"/>
        <v>0.21085694875705929</v>
      </c>
      <c r="S71" s="69">
        <f t="shared" si="16"/>
        <v>0.12538395909742595</v>
      </c>
      <c r="T71" s="70">
        <f t="shared" si="16"/>
        <v>3.2483905357873377E-2</v>
      </c>
    </row>
    <row r="72" spans="2:20" ht="15" thickBot="1">
      <c r="D72" s="480"/>
      <c r="E72" s="480"/>
      <c r="F72" s="480"/>
      <c r="G72" s="480"/>
      <c r="N72" s="480"/>
      <c r="O72" s="480"/>
      <c r="P72" s="480"/>
      <c r="Q72" s="480"/>
    </row>
    <row r="73" spans="2:20">
      <c r="B73" s="505" t="s">
        <v>305</v>
      </c>
      <c r="C73" s="506"/>
      <c r="D73" s="506"/>
      <c r="E73" s="506"/>
      <c r="F73" s="506"/>
      <c r="G73" s="506"/>
      <c r="H73" s="506"/>
      <c r="I73" s="506"/>
      <c r="J73" s="507"/>
      <c r="L73" s="530" t="s">
        <v>300</v>
      </c>
      <c r="M73" s="531"/>
      <c r="N73" s="531"/>
      <c r="O73" s="531"/>
      <c r="P73" s="531"/>
      <c r="Q73" s="531"/>
      <c r="R73" s="531"/>
      <c r="S73" s="531"/>
      <c r="T73" s="532"/>
    </row>
    <row r="74" spans="2:20" ht="28.8">
      <c r="B74" s="64"/>
      <c r="C74" s="243"/>
      <c r="D74" s="54" t="str">
        <f>D68</f>
        <v>6/1/2025</v>
      </c>
      <c r="E74" s="179" t="str">
        <f>E68</f>
        <v>10/1/25</v>
      </c>
      <c r="F74" s="55" t="str">
        <f>$D$2&amp;" Authorized"</f>
        <v>2029 Authorized</v>
      </c>
      <c r="G74" s="604" t="str">
        <f>$D$2&amp;" w/Pending"</f>
        <v>2029 w/Pending</v>
      </c>
      <c r="H74" s="55" t="str">
        <f>$H$31</f>
        <v>% Change over 6/1/2025</v>
      </c>
      <c r="I74" s="55" t="str">
        <f>$I$31</f>
        <v>% Change over 10/1/25</v>
      </c>
      <c r="J74" s="56" t="s">
        <v>148</v>
      </c>
      <c r="L74" s="64"/>
      <c r="M74" s="243"/>
      <c r="N74" s="54" t="str">
        <f>N68</f>
        <v>6/1/2025</v>
      </c>
      <c r="O74" s="179" t="str">
        <f>O68</f>
        <v>10/1/25</v>
      </c>
      <c r="P74" s="55" t="str">
        <f>$D$2&amp;" Authorized"</f>
        <v>2029 Authorized</v>
      </c>
      <c r="Q74" s="55" t="str">
        <f>$D$2&amp;" w/Pending"</f>
        <v>2029 w/Pending</v>
      </c>
      <c r="R74" s="55" t="str">
        <f>$H$31</f>
        <v>% Change over 6/1/2025</v>
      </c>
      <c r="S74" s="55" t="str">
        <f>$I$31</f>
        <v>% Change over 10/1/25</v>
      </c>
      <c r="T74" s="56" t="s">
        <v>148</v>
      </c>
    </row>
    <row r="75" spans="2:20">
      <c r="B75" s="528" t="str">
        <f>$I$9&amp;" kWh Monthly Usage - Non-CARE"</f>
        <v>400 kWh Monthly Usage - Non-CARE</v>
      </c>
      <c r="C75" s="529"/>
      <c r="D75" s="160">
        <f>((D81*5)+(D87*7)+(I6*2))/12</f>
        <v>161.70460120077044</v>
      </c>
      <c r="E75" s="160">
        <f>((E81*5)+(E87*7)+(I6*2))/12</f>
        <v>164.44345048167855</v>
      </c>
      <c r="F75" s="160">
        <f>((F81*5)+(F87*7)+(I7*2))/12</f>
        <v>186.67815481570616</v>
      </c>
      <c r="G75" s="605">
        <f>((G81*5)+(G87*7)+(I7*2))/12</f>
        <v>193.32815386949846</v>
      </c>
      <c r="H75" s="67">
        <f t="shared" ref="H75:J77" si="17">$G75/D75-1</f>
        <v>0.19556371577494325</v>
      </c>
      <c r="I75" s="67">
        <f t="shared" si="17"/>
        <v>0.17565128500534644</v>
      </c>
      <c r="J75" s="68">
        <f t="shared" si="17"/>
        <v>3.5622802573538115E-2</v>
      </c>
      <c r="K75" s="472"/>
      <c r="L75" s="528" t="str">
        <f>B75</f>
        <v>400 kWh Monthly Usage - Non-CARE</v>
      </c>
      <c r="M75" s="529"/>
      <c r="N75" s="160">
        <f>((N81*5)+(N87*7)+(I6*2))/12</f>
        <v>168.05767174640056</v>
      </c>
      <c r="O75" s="160">
        <f>((O81*5)+(O87*7)+(I6*2))/12</f>
        <v>170.03159773422701</v>
      </c>
      <c r="P75" s="160">
        <f>((P81*5)+(P87*7)+(I7*2))/12</f>
        <v>192.87998576505356</v>
      </c>
      <c r="Q75" s="160">
        <f>((Q81*5)+(Q87*7)+(I7*2))/12</f>
        <v>199.77147394375606</v>
      </c>
      <c r="R75" s="66">
        <f t="shared" ref="R75:T77" si="18">$Q75/N75-1</f>
        <v>0.18870785170231152</v>
      </c>
      <c r="S75" s="66">
        <f t="shared" si="18"/>
        <v>0.17490793832341023</v>
      </c>
      <c r="T75" s="266">
        <f t="shared" si="18"/>
        <v>3.5729410448510635E-2</v>
      </c>
    </row>
    <row r="76" spans="2:20">
      <c r="B76" s="261"/>
      <c r="C76" s="42" t="str">
        <f>$I$9&amp;" kWh Monthly Usage - CARE"</f>
        <v>400 kWh Monthly Usage - CARE</v>
      </c>
      <c r="D76" s="160">
        <f>((D82*5)+(D88*7)+(I6*2))/12</f>
        <v>95.72783423744221</v>
      </c>
      <c r="E76" s="160">
        <f>((E82*5)+(E88*7)+(I6*2))/12</f>
        <v>91.147280904108882</v>
      </c>
      <c r="F76" s="160">
        <f>((F82*5)+(F88*7)+(I7*2))/12</f>
        <v>107.29726860241907</v>
      </c>
      <c r="G76" s="605">
        <f>((G82*5)+(G88*7)+(I7*2))/12</f>
        <v>111.5528861477074</v>
      </c>
      <c r="H76" s="66">
        <f t="shared" si="17"/>
        <v>0.16531296290494679</v>
      </c>
      <c r="I76" s="66">
        <f t="shared" si="17"/>
        <v>0.22387508482086416</v>
      </c>
      <c r="J76" s="68">
        <f t="shared" si="17"/>
        <v>3.9661937351426646E-2</v>
      </c>
      <c r="K76" s="472"/>
      <c r="L76" s="261"/>
      <c r="M76" s="42" t="str">
        <f>C76</f>
        <v>400 kWh Monthly Usage - CARE</v>
      </c>
      <c r="N76" s="160">
        <f>((N82*5)+(N88*7)+(I6*2))/12</f>
        <v>99.857344237442234</v>
      </c>
      <c r="O76" s="160">
        <f>((O82*5)+(O88*7)+(I6*2))/12</f>
        <v>94.779704237442218</v>
      </c>
      <c r="P76" s="160">
        <f>((P82*5)+(P88*7)+(I7*2))/12</f>
        <v>111.3286003536582</v>
      </c>
      <c r="Q76" s="160">
        <f>((Q82*5)+(Q88*7)+(I7*2))/12</f>
        <v>115.74119134514014</v>
      </c>
      <c r="R76" s="66">
        <f t="shared" si="18"/>
        <v>0.15906538701779471</v>
      </c>
      <c r="S76" s="66">
        <f t="shared" si="18"/>
        <v>0.22116008143668786</v>
      </c>
      <c r="T76" s="68">
        <f t="shared" si="18"/>
        <v>3.9635735807909578E-2</v>
      </c>
    </row>
    <row r="77" spans="2:20" ht="15" thickBot="1">
      <c r="B77" s="526" t="s">
        <v>113</v>
      </c>
      <c r="C77" s="527"/>
      <c r="D77" s="162">
        <f>((D83*5)+(D89*7)+(I6*2))/12</f>
        <v>146.97160057532935</v>
      </c>
      <c r="E77" s="162">
        <f>((E83*5)+(E89*7)+(I6*2))/12</f>
        <v>148.07598414570319</v>
      </c>
      <c r="F77" s="162">
        <f>((F83*5)+(F89*7)+(I7*2))/12</f>
        <v>168.95193541974095</v>
      </c>
      <c r="G77" s="162">
        <f>((G83*5)+(G89*7)+(I7*2))/12</f>
        <v>175.06725498125169</v>
      </c>
      <c r="H77" s="69">
        <f t="shared" si="17"/>
        <v>0.19116383230460965</v>
      </c>
      <c r="I77" s="69">
        <f t="shared" si="17"/>
        <v>0.18227986794259454</v>
      </c>
      <c r="J77" s="70">
        <f t="shared" si="17"/>
        <v>3.619561709262431E-2</v>
      </c>
      <c r="K77" s="472"/>
      <c r="L77" s="526" t="s">
        <v>113</v>
      </c>
      <c r="M77" s="527"/>
      <c r="N77" s="162">
        <f>((N83*5)+(N89*7)+(I6*2))/12</f>
        <v>152.82813695571795</v>
      </c>
      <c r="O77" s="162">
        <f>((O83*5)+(O89*7)+(I6*2))/12</f>
        <v>153.22740672908134</v>
      </c>
      <c r="P77" s="162">
        <f>((P83*5)+(P89*7)+(I7*2))/12</f>
        <v>174.66908111524708</v>
      </c>
      <c r="Q77" s="162">
        <f>((Q83*5)+(Q89*7)+(I7*2))/12</f>
        <v>181.00701695286526</v>
      </c>
      <c r="R77" s="69">
        <f t="shared" si="18"/>
        <v>0.18438280122011919</v>
      </c>
      <c r="S77" s="69">
        <f t="shared" si="18"/>
        <v>0.18129661538226349</v>
      </c>
      <c r="T77" s="70">
        <f t="shared" si="18"/>
        <v>3.6285390620658164E-2</v>
      </c>
    </row>
    <row r="78" spans="2:20" ht="15" thickBot="1">
      <c r="D78" s="480"/>
      <c r="E78" s="480"/>
      <c r="F78" s="480"/>
      <c r="G78" s="480"/>
      <c r="N78" s="480"/>
      <c r="O78" s="480"/>
      <c r="P78" s="480"/>
      <c r="Q78" s="480"/>
    </row>
    <row r="79" spans="2:20">
      <c r="B79" s="505" t="s">
        <v>296</v>
      </c>
      <c r="C79" s="506"/>
      <c r="D79" s="506"/>
      <c r="E79" s="506"/>
      <c r="F79" s="506"/>
      <c r="G79" s="506"/>
      <c r="H79" s="506"/>
      <c r="I79" s="506"/>
      <c r="J79" s="507"/>
      <c r="L79" s="533" t="s">
        <v>299</v>
      </c>
      <c r="M79" s="534"/>
      <c r="N79" s="534"/>
      <c r="O79" s="534"/>
      <c r="P79" s="534"/>
      <c r="Q79" s="534"/>
      <c r="R79" s="534"/>
      <c r="S79" s="534"/>
      <c r="T79" s="535"/>
    </row>
    <row r="80" spans="2:20" ht="28.8">
      <c r="B80" s="64"/>
      <c r="C80" s="243"/>
      <c r="D80" s="54" t="str">
        <f>D74</f>
        <v>6/1/2025</v>
      </c>
      <c r="E80" s="179" t="str">
        <f>E74</f>
        <v>10/1/25</v>
      </c>
      <c r="F80" s="55" t="str">
        <f>$D$2&amp;" Authorized"</f>
        <v>2029 Authorized</v>
      </c>
      <c r="G80" s="55" t="str">
        <f>$D$2&amp;" w/Pending"</f>
        <v>2029 w/Pending</v>
      </c>
      <c r="H80" s="55" t="str">
        <f>$H$31</f>
        <v>% Change over 6/1/2025</v>
      </c>
      <c r="I80" s="55" t="str">
        <f>$I$31</f>
        <v>% Change over 10/1/25</v>
      </c>
      <c r="J80" s="56" t="s">
        <v>148</v>
      </c>
      <c r="L80" s="64"/>
      <c r="M80" s="243"/>
      <c r="N80" s="54" t="str">
        <f>N74</f>
        <v>6/1/2025</v>
      </c>
      <c r="O80" s="179" t="str">
        <f>O74</f>
        <v>10/1/25</v>
      </c>
      <c r="P80" s="55" t="str">
        <f>$D$2&amp;" Authorized"</f>
        <v>2029 Authorized</v>
      </c>
      <c r="Q80" s="55" t="str">
        <f>$D$2&amp;" w/Pending"</f>
        <v>2029 w/Pending</v>
      </c>
      <c r="R80" s="55" t="str">
        <f>$H$31</f>
        <v>% Change over 6/1/2025</v>
      </c>
      <c r="S80" s="55" t="str">
        <f>$I$31</f>
        <v>% Change over 10/1/25</v>
      </c>
      <c r="T80" s="56" t="s">
        <v>148</v>
      </c>
    </row>
    <row r="81" spans="2:20">
      <c r="B81" s="536" t="str">
        <f>$B$75</f>
        <v>400 kWh Monthly Usage - Non-CARE</v>
      </c>
      <c r="C81" s="537"/>
      <c r="D81" s="160">
        <f>IF($D$3="All",'Res Bill Impact'!C87,(VLOOKUP($D$3,'Res Bill Impact'!$B$83:$J$86,2,FALSE)))</f>
        <v>175.78159827915951</v>
      </c>
      <c r="E81" s="160">
        <f>IF($D$3="All",'Res Bill Impact'!E87,(VLOOKUP($D$3,'Res Bill Impact'!$B$83:$J$86,4,FALSE)))</f>
        <v>178.4585462531131</v>
      </c>
      <c r="F81" s="160">
        <f>IF($D$3="All",'Res Bill Impact'!G87,(VLOOKUP($D$3,'Res Bill Impact'!$B$83:$J$86,6,FALSE)))</f>
        <v>195.40750369106752</v>
      </c>
      <c r="G81" s="160">
        <f>IF($D$3="All",'Res Bill Impact'!I87,(VLOOKUP($D$3,'Res Bill Impact'!$B$83:$J$86,8,FALSE)))</f>
        <v>202.07704521739589</v>
      </c>
      <c r="H81" s="67">
        <f t="shared" ref="H81:J83" si="19">$G81/D81-1</f>
        <v>0.14959157952629654</v>
      </c>
      <c r="I81" s="67">
        <f t="shared" si="19"/>
        <v>0.13234725632463662</v>
      </c>
      <c r="J81" s="68">
        <f t="shared" si="19"/>
        <v>3.4131450432285826E-2</v>
      </c>
      <c r="K81" s="472"/>
      <c r="L81" s="528" t="str">
        <f>B81</f>
        <v>400 kWh Monthly Usage - Non-CARE</v>
      </c>
      <c r="M81" s="529"/>
      <c r="N81" s="160">
        <f>IF($D$3="All",'Res Bill Impact'!N87,(VLOOKUP($D$3,'Res Bill Impact'!$M$83:$U$86,2,FALSE)))</f>
        <v>188.56118527268148</v>
      </c>
      <c r="O81" s="160">
        <f>IF($D$3="All",'Res Bill Impact'!P87,(VLOOKUP($D$3,'Res Bill Impact'!$M$83:$U$86,4,FALSE)))</f>
        <v>189.69944361662101</v>
      </c>
      <c r="P81" s="160">
        <f>IF($D$3="All",'Res Bill Impact'!R87,(VLOOKUP($D$3,'Res Bill Impact'!$M$83:$U$86,6,FALSE)))</f>
        <v>207.8828630573849</v>
      </c>
      <c r="Q81" s="160">
        <f>IF($D$3="All",'Res Bill Impact'!T87,(VLOOKUP($D$3,'Res Bill Impact'!$M$83:$U$86,8,FALSE)))</f>
        <v>215.03817461532449</v>
      </c>
      <c r="R81" s="66">
        <f t="shared" ref="R81:T83" si="20">$Q81/N81-1</f>
        <v>0.14041590428249684</v>
      </c>
      <c r="S81" s="66">
        <f t="shared" si="20"/>
        <v>0.13357303804175924</v>
      </c>
      <c r="T81" s="266">
        <f t="shared" si="20"/>
        <v>3.4419920202678922E-2</v>
      </c>
    </row>
    <row r="82" spans="2:20">
      <c r="B82" s="261"/>
      <c r="C82" s="262" t="str">
        <f>$C$76</f>
        <v>400 kWh Monthly Usage - CARE</v>
      </c>
      <c r="D82" s="160">
        <f>IF($D$3="All",'Res Bill Impact'!C97,(VLOOKUP($D$3,'Res Bill Impact'!$B$93:$J$96,2,FALSE)))</f>
        <v>109.62488999999999</v>
      </c>
      <c r="E82" s="160">
        <f>IF($D$3="All",'Res Bill Impact'!E97,(VLOOKUP($D$3,'Res Bill Impact'!$B$93:$J$96,4,FALSE)))</f>
        <v>105.00411</v>
      </c>
      <c r="F82" s="160">
        <f>IF($D$3="All",'Res Bill Impact'!G97,(VLOOKUP($D$3,'Res Bill Impact'!$B$93:$J$96,6,FALSE)))</f>
        <v>115.85097014382944</v>
      </c>
      <c r="G82" s="160">
        <f>IF($D$3="All",'Res Bill Impact'!I97,(VLOOKUP($D$3,'Res Bill Impact'!$B$93:$J$96,8,FALSE)))</f>
        <v>120.11929074256699</v>
      </c>
      <c r="H82" s="66">
        <f t="shared" si="19"/>
        <v>9.5730091428753106E-2</v>
      </c>
      <c r="I82" s="66">
        <f t="shared" si="19"/>
        <v>0.14394846775585246</v>
      </c>
      <c r="J82" s="68">
        <f t="shared" si="19"/>
        <v>3.6843201169903139E-2</v>
      </c>
      <c r="K82" s="472"/>
      <c r="L82" s="261"/>
      <c r="M82" s="42" t="str">
        <f>C82</f>
        <v>400 kWh Monthly Usage - CARE</v>
      </c>
      <c r="N82" s="160">
        <f>IF($D$3="All",'Res Bill Impact'!N97,(VLOOKUP($D$3,'Res Bill Impact'!$M$93:$U$96,2,FALSE)))</f>
        <v>117.93164999999999</v>
      </c>
      <c r="O82" s="160">
        <f>IF($D$3="All",'Res Bill Impact'!P97,(VLOOKUP($D$3,'Res Bill Impact'!$M$93:$U$96,4,FALSE)))</f>
        <v>112.31095000000001</v>
      </c>
      <c r="P82" s="160">
        <f>IF($D$3="All",'Res Bill Impact'!R97,(VLOOKUP($D$3,'Res Bill Impact'!$M$93:$U$96,6,FALSE)))</f>
        <v>123.96023863765154</v>
      </c>
      <c r="Q82" s="160">
        <f>IF($D$3="All",'Res Bill Impact'!T97,(VLOOKUP($D$3,'Res Bill Impact'!$M$93:$U$96,8,FALSE)))</f>
        <v>128.5443208506976</v>
      </c>
      <c r="R82" s="66">
        <f t="shared" si="20"/>
        <v>8.9990014136982044E-2</v>
      </c>
      <c r="S82" s="66">
        <f t="shared" si="20"/>
        <v>0.14453952041806795</v>
      </c>
      <c r="T82" s="68">
        <f t="shared" si="20"/>
        <v>3.6980262892569948E-2</v>
      </c>
    </row>
    <row r="83" spans="2:20" ht="15" thickBot="1">
      <c r="B83" s="526" t="s">
        <v>113</v>
      </c>
      <c r="C83" s="538"/>
      <c r="D83" s="162">
        <f>D81*(1-'SAR and RAR'!$AD$16)+D82*'SAR and RAR'!$AD$16</f>
        <v>161.00841569814978</v>
      </c>
      <c r="E83" s="162">
        <f>E81*(1-'SAR and RAR'!$AD$16)+E82*'SAR and RAR'!$AD$16</f>
        <v>162.05573803639561</v>
      </c>
      <c r="F83" s="162">
        <f>F81*(1-'SAR and RAR'!$AD$16)+F82*'SAR and RAR'!$AD$16</f>
        <v>177.64206121097644</v>
      </c>
      <c r="G83" s="162">
        <f>G81*(1-'SAR and RAR'!$AD$16)+G82*'SAR and RAR'!$AD$16</f>
        <v>183.77539596246118</v>
      </c>
      <c r="H83" s="69">
        <f t="shared" si="19"/>
        <v>0.14140242400120107</v>
      </c>
      <c r="I83" s="69">
        <f t="shared" si="19"/>
        <v>0.13402584931110306</v>
      </c>
      <c r="J83" s="70">
        <f t="shared" si="19"/>
        <v>3.4526365600996423E-2</v>
      </c>
      <c r="K83" s="472"/>
      <c r="L83" s="526" t="s">
        <v>113</v>
      </c>
      <c r="M83" s="527"/>
      <c r="N83" s="162">
        <f>N81*(1-'SAR and RAR'!$AD$16)+N82*'SAR and RAR'!$AD$16</f>
        <v>172.78919408182162</v>
      </c>
      <c r="O83" s="162">
        <f>O81*(1-'SAR and RAR'!$AD$16)+O82*'SAR and RAR'!$AD$16</f>
        <v>172.41813722145687</v>
      </c>
      <c r="P83" s="162">
        <f>P81*(1-'SAR and RAR'!$AD$16)+P82*'SAR and RAR'!$AD$16</f>
        <v>189.14244677187895</v>
      </c>
      <c r="Q83" s="162">
        <f>Q81*(1-'SAR and RAR'!$AD$16)+Q82*'SAR and RAR'!$AD$16</f>
        <v>195.7235876741463</v>
      </c>
      <c r="R83" s="69">
        <f t="shared" si="20"/>
        <v>0.13273048534195064</v>
      </c>
      <c r="S83" s="69">
        <f t="shared" si="20"/>
        <v>0.1351682069430753</v>
      </c>
      <c r="T83" s="70">
        <f t="shared" si="20"/>
        <v>3.4794627089733687E-2</v>
      </c>
    </row>
    <row r="84" spans="2:20" ht="15" thickBot="1">
      <c r="D84" s="480"/>
      <c r="E84" s="480"/>
      <c r="F84" s="480"/>
      <c r="G84" s="480"/>
      <c r="N84" s="480"/>
      <c r="O84" s="480"/>
      <c r="P84" s="480"/>
      <c r="Q84" s="480"/>
    </row>
    <row r="85" spans="2:20">
      <c r="B85" s="505" t="s">
        <v>297</v>
      </c>
      <c r="C85" s="506"/>
      <c r="D85" s="506"/>
      <c r="E85" s="506"/>
      <c r="F85" s="506"/>
      <c r="G85" s="506"/>
      <c r="H85" s="506"/>
      <c r="I85" s="506"/>
      <c r="J85" s="507"/>
      <c r="L85" s="533" t="s">
        <v>298</v>
      </c>
      <c r="M85" s="534"/>
      <c r="N85" s="534"/>
      <c r="O85" s="534"/>
      <c r="P85" s="534"/>
      <c r="Q85" s="534"/>
      <c r="R85" s="534"/>
      <c r="S85" s="534"/>
      <c r="T85" s="535"/>
    </row>
    <row r="86" spans="2:20" ht="28.8">
      <c r="B86" s="64"/>
      <c r="C86" s="243"/>
      <c r="D86" s="54" t="str">
        <f>D80</f>
        <v>6/1/2025</v>
      </c>
      <c r="E86" s="179" t="str">
        <f>E80</f>
        <v>10/1/25</v>
      </c>
      <c r="F86" s="55" t="str">
        <f>$D$2&amp;" Authorized"</f>
        <v>2029 Authorized</v>
      </c>
      <c r="G86" s="55" t="str">
        <f>$D$2&amp;" w/Pending"</f>
        <v>2029 w/Pending</v>
      </c>
      <c r="H86" s="55" t="str">
        <f>$H$31</f>
        <v>% Change over 6/1/2025</v>
      </c>
      <c r="I86" s="55" t="str">
        <f>$I$31</f>
        <v>% Change over 10/1/25</v>
      </c>
      <c r="J86" s="56" t="s">
        <v>148</v>
      </c>
      <c r="L86" s="64"/>
      <c r="M86" s="243"/>
      <c r="N86" s="54" t="str">
        <f>N80</f>
        <v>6/1/2025</v>
      </c>
      <c r="O86" s="179" t="str">
        <f>O80</f>
        <v>10/1/25</v>
      </c>
      <c r="P86" s="55" t="str">
        <f>$D$2&amp;" Authorized"</f>
        <v>2029 Authorized</v>
      </c>
      <c r="Q86" s="55" t="str">
        <f>$D$2&amp;" w/Pending"</f>
        <v>2029 w/Pending</v>
      </c>
      <c r="R86" s="55" t="str">
        <f>$H$31</f>
        <v>% Change over 6/1/2025</v>
      </c>
      <c r="S86" s="55" t="str">
        <f>$I$31</f>
        <v>% Change over 10/1/25</v>
      </c>
      <c r="T86" s="56" t="s">
        <v>148</v>
      </c>
    </row>
    <row r="87" spans="2:20">
      <c r="B87" s="536" t="str">
        <f>$B$75</f>
        <v>400 kWh Monthly Usage - Non-CARE</v>
      </c>
      <c r="C87" s="537"/>
      <c r="D87" s="160">
        <f>IF($D$3="All",'Res Bill Impact'!D87,(VLOOKUP($D$3,'Res Bill Impact'!$B$83:$J$86,3,FALSE)))</f>
        <v>174.9002474520201</v>
      </c>
      <c r="E87" s="160">
        <f>IF($D$3="All",'Res Bill Impact'!F87,(VLOOKUP($D$3,'Res Bill Impact'!$B$83:$J$86,5,FALSE)))</f>
        <v>177.6833119521815</v>
      </c>
      <c r="F87" s="160">
        <f>IF($D$3="All",'Res Bill Impact'!H87,(VLOOKUP($D$3,'Res Bill Impact'!$B$83:$J$86,7,FALSE)))</f>
        <v>194.54713407959736</v>
      </c>
      <c r="G87" s="160">
        <f>IF($D$3="All",'Res Bill Impact'!J87,(VLOOKUP($D$3,'Res Bill Impact'!$B$83:$J$86,9,FALSE)))</f>
        <v>201.18317422443531</v>
      </c>
      <c r="H87" s="67">
        <f t="shared" ref="H87:J89" si="21">$G87/D87-1</f>
        <v>0.15027381124560923</v>
      </c>
      <c r="I87" s="67">
        <f t="shared" si="21"/>
        <v>0.13225700272053764</v>
      </c>
      <c r="J87" s="68">
        <f t="shared" si="21"/>
        <v>3.4110192248439253E-2</v>
      </c>
      <c r="K87" s="472"/>
      <c r="L87" s="528" t="str">
        <f>B87</f>
        <v>400 kWh Monthly Usage - Non-CARE</v>
      </c>
      <c r="M87" s="529"/>
      <c r="N87" s="160">
        <f>IF($D$3="All",'Res Bill Impact'!O87,(VLOOKUP($D$3,'Res Bill Impact'!$M$83:$U$86,3,FALSE)))</f>
        <v>176.66294910629895</v>
      </c>
      <c r="O87" s="160">
        <f>IF($D$3="All",'Res Bill Impact'!Q87,(VLOOKUP($D$3,'Res Bill Impact'!$M$83:$U$86,5,FALSE)))</f>
        <v>179.23378055404464</v>
      </c>
      <c r="P87" s="160">
        <f>IF($D$3="All",'Res Bill Impact'!S87,(VLOOKUP($D$3,'Res Bill Impact'!$M$83:$U$86,7,FALSE)))</f>
        <v>196.26787330253768</v>
      </c>
      <c r="Q87" s="160">
        <f>IF($D$3="All",'Res Bill Impact'!U87,(VLOOKUP($D$3,'Res Bill Impact'!$M$83:$U$86,9,FALSE)))</f>
        <v>202.97091621035648</v>
      </c>
      <c r="R87" s="66">
        <f t="shared" ref="R87:T89" si="22">$Q87/N87-1</f>
        <v>0.14891615495577337</v>
      </c>
      <c r="S87" s="66">
        <f t="shared" si="22"/>
        <v>0.13243672918651805</v>
      </c>
      <c r="T87" s="266">
        <f t="shared" si="22"/>
        <v>3.4152522239268235E-2</v>
      </c>
    </row>
    <row r="88" spans="2:20">
      <c r="B88" s="261"/>
      <c r="C88" s="262" t="str">
        <f>$C$76</f>
        <v>400 kWh Monthly Usage - CARE</v>
      </c>
      <c r="D88" s="160">
        <f>IF($D$3="All",'Res Bill Impact'!D97,(VLOOKUP($D$3,'Res Bill Impact'!$B$93:$J$96,3,FALSE)))</f>
        <v>109.05201</v>
      </c>
      <c r="E88" s="160">
        <f>IF($D$3="All",'Res Bill Impact'!F97,(VLOOKUP($D$3,'Res Bill Impact'!$B$93:$J$96,5,FALSE)))</f>
        <v>104.50019</v>
      </c>
      <c r="F88" s="160">
        <f>IF($D$3="All",'Res Bill Impact'!H97,(VLOOKUP($D$3,'Res Bill Impact'!$B$93:$J$96,7,FALSE)))</f>
        <v>115.2917102477038</v>
      </c>
      <c r="G88" s="160">
        <f>IF($D$3="All",'Res Bill Impact'!J97,(VLOOKUP($D$3,'Res Bill Impact'!$B$93:$J$96,9,FALSE)))</f>
        <v>119.53825418338556</v>
      </c>
      <c r="H88" s="66">
        <f t="shared" si="21"/>
        <v>9.615819262190195E-2</v>
      </c>
      <c r="I88" s="66">
        <f t="shared" si="21"/>
        <v>0.14390465877033876</v>
      </c>
      <c r="J88" s="68">
        <f t="shared" si="21"/>
        <v>3.6833037922310963E-2</v>
      </c>
      <c r="K88" s="472"/>
      <c r="L88" s="261"/>
      <c r="M88" s="42" t="str">
        <f>C88</f>
        <v>400 kWh Monthly Usage - CARE</v>
      </c>
      <c r="N88" s="160">
        <f>IF($D$3="All",'Res Bill Impact'!O97,(VLOOKUP($D$3,'Res Bill Impact'!$M$93:$U$96,3,FALSE)))</f>
        <v>110.19777000000001</v>
      </c>
      <c r="O88" s="160">
        <f>IF($D$3="All",'Res Bill Impact'!Q97,(VLOOKUP($D$3,'Res Bill Impact'!$M$93:$U$96,5,FALSE)))</f>
        <v>105.50802999999999</v>
      </c>
      <c r="P88" s="160">
        <f>IF($D$3="All",'Res Bill Impact'!S97,(VLOOKUP($D$3,'Res Bill Impact'!$M$93:$U$96,7,FALSE)))</f>
        <v>116.41023003995511</v>
      </c>
      <c r="Q88" s="160">
        <f>IF($D$3="All",'Res Bill Impact'!U97,(VLOOKUP($D$3,'Res Bill Impact'!$M$93:$U$96,9,FALSE)))</f>
        <v>120.7003273017484</v>
      </c>
      <c r="R88" s="66">
        <f t="shared" si="22"/>
        <v>9.5306441334959802E-2</v>
      </c>
      <c r="S88" s="66">
        <f t="shared" si="22"/>
        <v>0.14399185826660221</v>
      </c>
      <c r="T88" s="68">
        <f t="shared" si="22"/>
        <v>3.6853266764620418E-2</v>
      </c>
    </row>
    <row r="89" spans="2:20" ht="15" thickBot="1">
      <c r="B89" s="526" t="s">
        <v>113</v>
      </c>
      <c r="C89" s="538"/>
      <c r="D89" s="162">
        <f>D87*(1-'SAR and RAR'!$AD$16)+D88*'SAR and RAR'!$AD$16</f>
        <v>160.19594822341384</v>
      </c>
      <c r="E89" s="162">
        <f>E87*(1-'SAR and RAR'!$AD$16)+E88*'SAR and RAR'!$AD$16</f>
        <v>161.3410898167362</v>
      </c>
      <c r="F89" s="162">
        <f>F87*(1-'SAR and RAR'!$AD$16)+F88*'SAR and RAR'!$AD$16</f>
        <v>176.8489311722935</v>
      </c>
      <c r="G89" s="162">
        <f>G87*(1-'SAR and RAR'!$AD$16)+G88*'SAR and RAR'!$AD$16</f>
        <v>182.95138274096561</v>
      </c>
      <c r="H89" s="69">
        <f t="shared" si="21"/>
        <v>0.14204750350999129</v>
      </c>
      <c r="I89" s="69">
        <f t="shared" si="21"/>
        <v>0.13394165707431416</v>
      </c>
      <c r="J89" s="70">
        <f t="shared" si="21"/>
        <v>3.4506578740511884E-2</v>
      </c>
      <c r="K89" s="472"/>
      <c r="L89" s="526" t="s">
        <v>113</v>
      </c>
      <c r="M89" s="527"/>
      <c r="N89" s="162">
        <f>N87*(1-'SAR and RAR'!$AD$16)+N88*'SAR and RAR'!$AD$16</f>
        <v>161.82088317288577</v>
      </c>
      <c r="O89" s="162">
        <f>O87*(1-'SAR and RAR'!$AD$16)+O88*'SAR and RAR'!$AD$16</f>
        <v>162.77038625605499</v>
      </c>
      <c r="P89" s="162">
        <f>P87*(1-'SAR and RAR'!$AD$16)+P88*'SAR and RAR'!$AD$16</f>
        <v>178.43519124965937</v>
      </c>
      <c r="Q89" s="162">
        <f>Q87*(1-'SAR and RAR'!$AD$16)+Q88*'SAR and RAR'!$AD$16</f>
        <v>184.59940918395668</v>
      </c>
      <c r="R89" s="69">
        <f t="shared" si="22"/>
        <v>0.14076382210035798</v>
      </c>
      <c r="S89" s="69">
        <f t="shared" si="22"/>
        <v>0.13410930225085504</v>
      </c>
      <c r="T89" s="70">
        <f t="shared" si="22"/>
        <v>3.4545976559481328E-2</v>
      </c>
    </row>
    <row r="90" spans="2:20">
      <c r="D90" s="480"/>
      <c r="E90" s="480"/>
      <c r="F90" s="480"/>
      <c r="G90" s="480"/>
      <c r="N90" s="480"/>
      <c r="O90" s="480"/>
      <c r="P90" s="480"/>
      <c r="Q90" s="480"/>
    </row>
    <row r="91" spans="2:20" ht="15" thickBot="1"/>
    <row r="92" spans="2:20">
      <c r="B92" s="508" t="s">
        <v>423</v>
      </c>
      <c r="C92" s="509"/>
      <c r="D92" s="509"/>
      <c r="E92" s="509"/>
      <c r="F92" s="509"/>
      <c r="G92" s="509"/>
      <c r="H92" s="509"/>
      <c r="I92" s="509"/>
      <c r="J92" s="510"/>
    </row>
    <row r="93" spans="2:20" ht="28.8">
      <c r="B93" s="64"/>
      <c r="C93" s="243"/>
      <c r="D93" s="54" t="str">
        <f>D86</f>
        <v>6/1/2025</v>
      </c>
      <c r="E93" s="179" t="str">
        <f>E86</f>
        <v>10/1/25</v>
      </c>
      <c r="F93" s="55" t="str">
        <f>$D$2&amp;" Authorized"</f>
        <v>2029 Authorized</v>
      </c>
      <c r="G93" s="55" t="str">
        <f>$D$2&amp;" w/Pending"</f>
        <v>2029 w/Pending</v>
      </c>
      <c r="H93" s="55" t="str">
        <f>$H$31</f>
        <v>% Change over 6/1/2025</v>
      </c>
      <c r="I93" s="55" t="str">
        <f>$I$31</f>
        <v>% Change over 10/1/25</v>
      </c>
      <c r="J93" s="56" t="s">
        <v>148</v>
      </c>
    </row>
    <row r="94" spans="2:20">
      <c r="B94" s="389"/>
      <c r="C94" s="42" t="s">
        <v>412</v>
      </c>
      <c r="D94" s="160">
        <f>((D100*5)+(D106*7))/12</f>
        <v>387.32362038753587</v>
      </c>
      <c r="E94" s="160">
        <f>((E100*5)+(E106*7))/12</f>
        <v>384.37538339633164</v>
      </c>
      <c r="F94" s="160">
        <f>((F100*5)+(F106*7))/12</f>
        <v>404.73919284021531</v>
      </c>
      <c r="G94" s="605">
        <f>((G100*5)+(G106*7))/12</f>
        <v>408.83432222077994</v>
      </c>
      <c r="H94" s="67">
        <f t="shared" ref="H94:J96" si="23">$G94/D94-1</f>
        <v>5.5536767449714475E-2</v>
      </c>
      <c r="I94" s="67">
        <f t="shared" si="23"/>
        <v>6.363294810487008E-2</v>
      </c>
      <c r="J94" s="68">
        <f t="shared" si="23"/>
        <v>1.0117946205870254E-2</v>
      </c>
      <c r="K94" s="472"/>
    </row>
    <row r="95" spans="2:20">
      <c r="B95" s="261"/>
      <c r="C95" s="42" t="s">
        <v>413</v>
      </c>
      <c r="D95" s="160">
        <f t="shared" ref="D95:G96" si="24">((D101*5)+(D107*7))/12</f>
        <v>432.83873504064422</v>
      </c>
      <c r="E95" s="160">
        <f t="shared" si="24"/>
        <v>429.60555832313588</v>
      </c>
      <c r="F95" s="160">
        <f t="shared" si="24"/>
        <v>452.06431063539685</v>
      </c>
      <c r="G95" s="605">
        <f>((G101*5)+(G107*7))/12</f>
        <v>456.58072966289797</v>
      </c>
      <c r="H95" s="66">
        <f t="shared" si="23"/>
        <v>5.4851825172311131E-2</v>
      </c>
      <c r="I95" s="66">
        <f t="shared" si="23"/>
        <v>6.2790554770877138E-2</v>
      </c>
      <c r="J95" s="68">
        <f t="shared" si="23"/>
        <v>9.9906560222662311E-3</v>
      </c>
      <c r="K95" s="472"/>
    </row>
    <row r="96" spans="2:20" ht="15" thickBot="1">
      <c r="B96" s="390"/>
      <c r="C96" s="341" t="s">
        <v>414</v>
      </c>
      <c r="D96" s="162">
        <f>((D102*5)+(D108*7))/12</f>
        <v>1074.8341539545861</v>
      </c>
      <c r="E96" s="162">
        <f t="shared" si="24"/>
        <v>1066.6676105790818</v>
      </c>
      <c r="F96" s="162">
        <f t="shared" si="24"/>
        <v>1123.9149892872044</v>
      </c>
      <c r="G96" s="606">
        <f t="shared" si="24"/>
        <v>1135.4273452220784</v>
      </c>
      <c r="H96" s="69">
        <f t="shared" si="23"/>
        <v>5.6374456509922677E-2</v>
      </c>
      <c r="I96" s="69">
        <f t="shared" si="23"/>
        <v>6.4462194184060406E-2</v>
      </c>
      <c r="J96" s="70">
        <f t="shared" si="23"/>
        <v>1.0243084258690471E-2</v>
      </c>
      <c r="K96" s="472"/>
    </row>
    <row r="97" spans="2:11" ht="15" thickBot="1">
      <c r="K97" s="472"/>
    </row>
    <row r="98" spans="2:11">
      <c r="B98" s="508" t="s">
        <v>424</v>
      </c>
      <c r="C98" s="509"/>
      <c r="D98" s="509"/>
      <c r="E98" s="509"/>
      <c r="F98" s="509"/>
      <c r="G98" s="509"/>
      <c r="H98" s="509"/>
      <c r="I98" s="509"/>
      <c r="J98" s="510"/>
      <c r="K98" s="472"/>
    </row>
    <row r="99" spans="2:11" ht="28.8">
      <c r="B99" s="64"/>
      <c r="C99" s="243"/>
      <c r="D99" s="54" t="str">
        <f>D93</f>
        <v>6/1/2025</v>
      </c>
      <c r="E99" s="179" t="str">
        <f>E93</f>
        <v>10/1/25</v>
      </c>
      <c r="F99" s="55" t="str">
        <f>$D$2&amp;" Authorized"</f>
        <v>2029 Authorized</v>
      </c>
      <c r="G99" s="55" t="str">
        <f>$D$2&amp;" w/Pending"</f>
        <v>2029 w/Pending</v>
      </c>
      <c r="H99" s="55" t="str">
        <f>$H$31</f>
        <v>% Change over 6/1/2025</v>
      </c>
      <c r="I99" s="55" t="str">
        <f>$I$31</f>
        <v>% Change over 10/1/25</v>
      </c>
      <c r="J99" s="56" t="s">
        <v>148</v>
      </c>
      <c r="K99" s="472"/>
    </row>
    <row r="100" spans="2:11">
      <c r="B100" s="389"/>
      <c r="C100" s="42" t="s">
        <v>412</v>
      </c>
      <c r="D100" s="160">
        <f>'Bill Impact (TOU-A)'!C$36</f>
        <v>450.92885223538002</v>
      </c>
      <c r="E100" s="160">
        <f>'Bill Impact (TOU-A)'!E$36</f>
        <v>447.84345228837992</v>
      </c>
      <c r="F100" s="160">
        <f>'Bill Impact (TOU-A)'!G$36</f>
        <v>471.67820577395531</v>
      </c>
      <c r="G100" s="160">
        <f>'Bill Impact (TOU-A)'!I$36</f>
        <v>476.47133642793574</v>
      </c>
      <c r="H100" s="67">
        <f t="shared" ref="H100:J102" si="25">$G100/D100-1</f>
        <v>5.6644155870564816E-2</v>
      </c>
      <c r="I100" s="67">
        <f t="shared" si="25"/>
        <v>6.3923864451459034E-2</v>
      </c>
      <c r="J100" s="68">
        <f t="shared" si="25"/>
        <v>1.0161865855378149E-2</v>
      </c>
      <c r="K100" s="472"/>
    </row>
    <row r="101" spans="2:11">
      <c r="B101" s="261"/>
      <c r="C101" s="42" t="s">
        <v>413</v>
      </c>
      <c r="D101" s="160">
        <f>'Bill Impact (TOU-A)'!C$37</f>
        <v>536.62160707251007</v>
      </c>
      <c r="E101" s="160">
        <f>'Bill Impact (TOU-A)'!E$37</f>
        <v>532.98417182346009</v>
      </c>
      <c r="F101" s="160">
        <f>'Bill Impact (TOU-A)'!G$37</f>
        <v>561.09390191671196</v>
      </c>
      <c r="G101" s="160">
        <f>'Bill Impact (TOU-A)'!I$37</f>
        <v>566.74672350207561</v>
      </c>
      <c r="H101" s="66">
        <f t="shared" si="25"/>
        <v>5.6138470819150132E-2</v>
      </c>
      <c r="I101" s="66">
        <f t="shared" si="25"/>
        <v>6.3346255786745242E-2</v>
      </c>
      <c r="J101" s="68">
        <f t="shared" si="25"/>
        <v>1.0074644486517181E-2</v>
      </c>
      <c r="K101" s="472"/>
    </row>
    <row r="102" spans="2:11" ht="15" thickBot="1">
      <c r="B102" s="390"/>
      <c r="C102" s="341" t="s">
        <v>414</v>
      </c>
      <c r="D102" s="162">
        <f>'Bill Impact (TOU-A)'!C$38</f>
        <v>1354.7529005339402</v>
      </c>
      <c r="E102" s="162">
        <f>'Bill Impact (TOU-A)'!E$38</f>
        <v>1345.44326247864</v>
      </c>
      <c r="F102" s="162">
        <f>'Bill Impact (TOU-A)'!G$38</f>
        <v>1417.9285747794968</v>
      </c>
      <c r="G102" s="162">
        <f>'Bill Impact (TOU-A)'!I$38</f>
        <v>1432.5052546919967</v>
      </c>
      <c r="H102" s="69">
        <f t="shared" si="25"/>
        <v>5.7392277313015772E-2</v>
      </c>
      <c r="I102" s="69">
        <f t="shared" si="25"/>
        <v>6.4708780103418739E-2</v>
      </c>
      <c r="J102" s="70">
        <f t="shared" si="25"/>
        <v>1.0280263880546148E-2</v>
      </c>
      <c r="K102" s="472"/>
    </row>
    <row r="103" spans="2:11" ht="15" thickBot="1">
      <c r="C103" s="391"/>
      <c r="D103" s="392"/>
      <c r="E103" s="392"/>
      <c r="F103" s="392"/>
      <c r="G103" s="392"/>
      <c r="K103" s="472"/>
    </row>
    <row r="104" spans="2:11">
      <c r="B104" s="508" t="s">
        <v>425</v>
      </c>
      <c r="C104" s="509"/>
      <c r="D104" s="509"/>
      <c r="E104" s="509"/>
      <c r="F104" s="509"/>
      <c r="G104" s="509"/>
      <c r="H104" s="509"/>
      <c r="I104" s="509"/>
      <c r="J104" s="510"/>
      <c r="K104" s="472"/>
    </row>
    <row r="105" spans="2:11" ht="28.8">
      <c r="B105" s="64"/>
      <c r="C105" s="243"/>
      <c r="D105" s="54" t="str">
        <f>D99</f>
        <v>6/1/2025</v>
      </c>
      <c r="E105" s="179" t="str">
        <f>E99</f>
        <v>10/1/25</v>
      </c>
      <c r="F105" s="55" t="str">
        <f>$D$2&amp;" Authorized"</f>
        <v>2029 Authorized</v>
      </c>
      <c r="G105" s="55" t="str">
        <f>$D$2&amp;" w/Pending"</f>
        <v>2029 w/Pending</v>
      </c>
      <c r="H105" s="55" t="str">
        <f>$H$31</f>
        <v>% Change over 6/1/2025</v>
      </c>
      <c r="I105" s="55" t="str">
        <f>$I$31</f>
        <v>% Change over 10/1/25</v>
      </c>
      <c r="J105" s="56" t="s">
        <v>148</v>
      </c>
      <c r="K105" s="472"/>
    </row>
    <row r="106" spans="2:11">
      <c r="B106" s="389"/>
      <c r="C106" s="42" t="s">
        <v>412</v>
      </c>
      <c r="D106" s="160">
        <f>'Bill Impact (TOU-A)'!D$36</f>
        <v>341.89131192479005</v>
      </c>
      <c r="E106" s="160">
        <f>'Bill Impact (TOU-A)'!F$36</f>
        <v>339.04104847344001</v>
      </c>
      <c r="F106" s="160">
        <f>'Bill Impact (TOU-A)'!H$36</f>
        <v>356.92561217325806</v>
      </c>
      <c r="G106" s="160">
        <f>'Bill Impact (TOU-A)'!J$36</f>
        <v>360.52216921566855</v>
      </c>
      <c r="H106" s="67">
        <f t="shared" ref="H106:J108" si="26">$G106/D106-1</f>
        <v>5.4493509021887432E-2</v>
      </c>
      <c r="I106" s="67">
        <f t="shared" si="26"/>
        <v>6.3358465999763247E-2</v>
      </c>
      <c r="J106" s="68">
        <f t="shared" si="26"/>
        <v>1.0076489105143471E-2</v>
      </c>
      <c r="K106" s="472"/>
    </row>
    <row r="107" spans="2:11">
      <c r="B107" s="261"/>
      <c r="C107" s="42" t="s">
        <v>413</v>
      </c>
      <c r="D107" s="160">
        <f>'Bill Impact (TOU-A)'!D$37</f>
        <v>358.70811216074003</v>
      </c>
      <c r="E107" s="160">
        <f>'Bill Impact (TOU-A)'!F$37</f>
        <v>355.76369153718997</v>
      </c>
      <c r="F107" s="160">
        <f>'Bill Impact (TOU-A)'!H$37</f>
        <v>374.18603114874315</v>
      </c>
      <c r="G107" s="160">
        <f>'Bill Impact (TOU-A)'!J$37</f>
        <v>377.89073406348535</v>
      </c>
      <c r="H107" s="66">
        <f t="shared" si="26"/>
        <v>5.3476967072741965E-2</v>
      </c>
      <c r="I107" s="66">
        <f t="shared" si="26"/>
        <v>6.2195898717737341E-2</v>
      </c>
      <c r="J107" s="68">
        <f t="shared" si="26"/>
        <v>9.9006980655287347E-3</v>
      </c>
      <c r="K107" s="472"/>
    </row>
    <row r="108" spans="2:11" ht="15" thickBot="1">
      <c r="B108" s="390"/>
      <c r="C108" s="341" t="s">
        <v>414</v>
      </c>
      <c r="D108" s="162">
        <f>'Bill Impact (TOU-A)'!D$38</f>
        <v>874.89219211219029</v>
      </c>
      <c r="E108" s="162">
        <f>'Bill Impact (TOU-A)'!F$38</f>
        <v>867.54214493654013</v>
      </c>
      <c r="F108" s="162">
        <f>'Bill Impact (TOU-A)'!H$38</f>
        <v>913.90528536413819</v>
      </c>
      <c r="G108" s="162">
        <f>'Bill Impact (TOU-A)'!J$38</f>
        <v>923.228838457851</v>
      </c>
      <c r="H108" s="69">
        <f t="shared" si="26"/>
        <v>5.5248688674389701E-2</v>
      </c>
      <c r="I108" s="69">
        <f t="shared" si="26"/>
        <v>6.4189035479520484E-2</v>
      </c>
      <c r="J108" s="70">
        <f t="shared" si="26"/>
        <v>1.020188113913556E-2</v>
      </c>
      <c r="K108" s="472"/>
    </row>
  </sheetData>
  <mergeCells count="67">
    <mergeCell ref="B87:C87"/>
    <mergeCell ref="B89:C89"/>
    <mergeCell ref="B75:C75"/>
    <mergeCell ref="G10:H12"/>
    <mergeCell ref="O5:P5"/>
    <mergeCell ref="M5:N5"/>
    <mergeCell ref="B45:C45"/>
    <mergeCell ref="B53:C53"/>
    <mergeCell ref="B46:C46"/>
    <mergeCell ref="B47:C47"/>
    <mergeCell ref="B51:C51"/>
    <mergeCell ref="B52:C52"/>
    <mergeCell ref="B34:C34"/>
    <mergeCell ref="L34:M34"/>
    <mergeCell ref="B39:C39"/>
    <mergeCell ref="B40:C40"/>
    <mergeCell ref="L37:T37"/>
    <mergeCell ref="L39:M39"/>
    <mergeCell ref="L40:M40"/>
    <mergeCell ref="L30:T30"/>
    <mergeCell ref="B31:C31"/>
    <mergeCell ref="L31:M31"/>
    <mergeCell ref="B32:C32"/>
    <mergeCell ref="L32:M32"/>
    <mergeCell ref="B81:C81"/>
    <mergeCell ref="B83:C83"/>
    <mergeCell ref="L41:M41"/>
    <mergeCell ref="L43:T43"/>
    <mergeCell ref="L58:M58"/>
    <mergeCell ref="L59:M59"/>
    <mergeCell ref="L61:T61"/>
    <mergeCell ref="L45:M45"/>
    <mergeCell ref="L46:M46"/>
    <mergeCell ref="L47:M47"/>
    <mergeCell ref="L49:T49"/>
    <mergeCell ref="L51:M51"/>
    <mergeCell ref="L52:M52"/>
    <mergeCell ref="L53:M53"/>
    <mergeCell ref="B41:C41"/>
    <mergeCell ref="L55:T55"/>
    <mergeCell ref="L57:M57"/>
    <mergeCell ref="L63:M63"/>
    <mergeCell ref="B71:C71"/>
    <mergeCell ref="L70:M70"/>
    <mergeCell ref="L71:M71"/>
    <mergeCell ref="B57:C57"/>
    <mergeCell ref="B58:C58"/>
    <mergeCell ref="B59:C59"/>
    <mergeCell ref="B69:C69"/>
    <mergeCell ref="B70:C70"/>
    <mergeCell ref="B63:C63"/>
    <mergeCell ref="B64:C64"/>
    <mergeCell ref="B65:C65"/>
    <mergeCell ref="L89:M89"/>
    <mergeCell ref="L77:M77"/>
    <mergeCell ref="L79:T79"/>
    <mergeCell ref="L81:M81"/>
    <mergeCell ref="L83:M83"/>
    <mergeCell ref="L85:T85"/>
    <mergeCell ref="L87:M87"/>
    <mergeCell ref="B77:C77"/>
    <mergeCell ref="L75:M75"/>
    <mergeCell ref="L64:M64"/>
    <mergeCell ref="L65:M65"/>
    <mergeCell ref="L67:T67"/>
    <mergeCell ref="L69:M69"/>
    <mergeCell ref="L73:T73"/>
  </mergeCells>
  <phoneticPr fontId="42" type="noConversion"/>
  <dataValidations count="3">
    <dataValidation type="list" allowBlank="1" showInputMessage="1" showErrorMessage="1" sqref="D3" xr:uid="{C4DA6E63-9F04-466D-994F-08C28D8856CC}">
      <formula1>"Coastal - Mild, Mountain - Extreme, Desert - Hot, Inland - Warm, ALL"</formula1>
    </dataValidation>
    <dataValidation type="list" allowBlank="1" showInputMessage="1" showErrorMessage="1" sqref="D2" xr:uid="{E7B56FAD-CE5E-4838-9DB3-63A485983CEC}">
      <formula1>"2025, 2026, 2027, 2028, 2029"</formula1>
    </dataValidation>
    <dataValidation type="list" allowBlank="1" showInputMessage="1" showErrorMessage="1" sqref="I8" xr:uid="{A5F6ABD7-4D20-4C5E-A3ED-3EF8E893445B}">
      <formula1>"Y,N"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1FEC-0591-4595-9489-C0DB61E71E9E}">
  <sheetPr codeName="Sheet6">
    <tabColor rgb="FFFFC000"/>
  </sheetPr>
  <dimension ref="A1:AL71"/>
  <sheetViews>
    <sheetView showGridLines="0" zoomScale="72" workbookViewId="0">
      <selection activeCell="Q34" sqref="Q34"/>
    </sheetView>
  </sheetViews>
  <sheetFormatPr defaultRowHeight="14.4"/>
  <cols>
    <col min="2" max="2" width="4.44140625" customWidth="1"/>
    <col min="3" max="3" width="39.6640625" customWidth="1"/>
    <col min="16" max="16" width="18.6640625" customWidth="1"/>
    <col min="17" max="17" width="15" customWidth="1"/>
    <col min="18" max="18" width="10.6640625" customWidth="1"/>
    <col min="20" max="21" width="10" bestFit="1" customWidth="1"/>
    <col min="23" max="23" width="11.88671875" style="302" customWidth="1"/>
    <col min="24" max="24" width="11.6640625" style="302" bestFit="1" customWidth="1"/>
    <col min="25" max="25" width="1.44140625" style="302" customWidth="1"/>
    <col min="26" max="26" width="12.6640625" bestFit="1" customWidth="1"/>
    <col min="28" max="28" width="1.33203125" customWidth="1"/>
    <col min="29" max="29" width="12.6640625" style="302" bestFit="1" customWidth="1"/>
    <col min="30" max="30" width="9.6640625" style="302" customWidth="1"/>
    <col min="31" max="31" width="1" style="302" customWidth="1"/>
    <col min="34" max="34" width="1.5546875" customWidth="1"/>
    <col min="37" max="37" width="1.44140625" customWidth="1"/>
  </cols>
  <sheetData>
    <row r="1" spans="1:26">
      <c r="A1" t="s">
        <v>355</v>
      </c>
      <c r="Q1" s="302"/>
    </row>
    <row r="2" spans="1:26">
      <c r="Q2" s="298" t="s">
        <v>180</v>
      </c>
    </row>
    <row r="3" spans="1:26">
      <c r="Q3" s="298" t="s">
        <v>356</v>
      </c>
    </row>
    <row r="4" spans="1:26">
      <c r="Q4" s="299" t="s">
        <v>371</v>
      </c>
    </row>
    <row r="5" spans="1:26">
      <c r="A5">
        <v>1</v>
      </c>
      <c r="B5" s="300" t="s">
        <v>357</v>
      </c>
      <c r="Q5" s="13">
        <f>'Authorized Rev Req'!$S$166</f>
        <v>4308732.9498201087</v>
      </c>
      <c r="R5" s="13"/>
    </row>
    <row r="6" spans="1:26">
      <c r="B6" s="301" t="s">
        <v>358</v>
      </c>
      <c r="C6" t="s">
        <v>359</v>
      </c>
      <c r="Q6" s="13">
        <f>Q5*0.01</f>
        <v>43087.329498201085</v>
      </c>
      <c r="R6" s="13"/>
    </row>
    <row r="7" spans="1:26">
      <c r="B7" s="301"/>
      <c r="Q7" s="13"/>
    </row>
    <row r="8" spans="1:26">
      <c r="A8">
        <v>2</v>
      </c>
      <c r="B8" s="300" t="s">
        <v>360</v>
      </c>
      <c r="Q8" s="307" t="s">
        <v>343</v>
      </c>
      <c r="V8" s="308"/>
      <c r="W8" s="329"/>
      <c r="X8" s="329"/>
      <c r="Y8" s="329"/>
      <c r="Z8" s="308"/>
    </row>
    <row r="9" spans="1:26">
      <c r="B9" s="456" t="s">
        <v>358</v>
      </c>
      <c r="C9" s="450" t="s">
        <v>499</v>
      </c>
      <c r="D9" s="450" t="s">
        <v>541</v>
      </c>
      <c r="E9" s="450"/>
      <c r="F9" s="450"/>
      <c r="G9" s="450"/>
      <c r="H9" s="455"/>
      <c r="I9" s="455"/>
      <c r="J9" s="455"/>
      <c r="K9" s="455"/>
      <c r="L9" s="455"/>
      <c r="M9" s="455"/>
      <c r="N9" s="455"/>
      <c r="O9" s="455"/>
      <c r="P9" s="455"/>
      <c r="Q9" s="14">
        <f>SUM('Incremental Rev Req'!H94:J94)</f>
        <v>389190.19314164098</v>
      </c>
      <c r="R9" s="13"/>
      <c r="T9" s="27"/>
      <c r="U9" s="306"/>
    </row>
    <row r="10" spans="1:26">
      <c r="B10" s="456" t="s">
        <v>361</v>
      </c>
      <c r="C10" t="s">
        <v>382</v>
      </c>
      <c r="D10" t="s">
        <v>542</v>
      </c>
      <c r="Q10" s="13">
        <f>SUM('Incremental Rev Req'!G93:J93)</f>
        <v>365229.56697210664</v>
      </c>
      <c r="R10" s="13"/>
      <c r="T10" s="27"/>
      <c r="U10" s="306"/>
    </row>
    <row r="11" spans="1:26">
      <c r="B11" s="456" t="s">
        <v>362</v>
      </c>
      <c r="C11" s="450" t="s">
        <v>503</v>
      </c>
      <c r="D11" s="450" t="s">
        <v>502</v>
      </c>
      <c r="E11" s="450"/>
      <c r="F11" s="450"/>
      <c r="G11" s="450"/>
      <c r="H11" s="455"/>
      <c r="I11" s="455"/>
      <c r="J11" s="455"/>
      <c r="K11" s="455"/>
      <c r="L11" s="455"/>
      <c r="M11" s="455"/>
      <c r="N11" s="455"/>
      <c r="O11" s="455"/>
      <c r="P11" s="455"/>
      <c r="Q11" s="14">
        <f>'Incremental Rev Req'!$G$95+'Incremental Rev Req'!$G$96</f>
        <v>72343.032391531917</v>
      </c>
      <c r="R11" s="13"/>
      <c r="T11" s="27"/>
      <c r="U11" s="306"/>
    </row>
    <row r="12" spans="1:26">
      <c r="B12" s="456" t="s">
        <v>363</v>
      </c>
      <c r="C12" t="s">
        <v>511</v>
      </c>
      <c r="D12" s="450" t="s">
        <v>516</v>
      </c>
      <c r="Q12" s="14">
        <f>SUM('Incremental Rev Req'!G100:G114)</f>
        <v>654614.07944976666</v>
      </c>
      <c r="R12" s="13"/>
      <c r="T12" s="27"/>
      <c r="U12" s="306"/>
      <c r="V12" s="309"/>
      <c r="W12" s="332"/>
      <c r="X12" s="332"/>
      <c r="Y12" s="332"/>
      <c r="Z12" s="309"/>
    </row>
    <row r="14" spans="1:26">
      <c r="B14" s="456"/>
      <c r="R14" s="13"/>
      <c r="T14" s="27"/>
      <c r="U14" s="306"/>
      <c r="V14" s="309"/>
      <c r="W14" s="332"/>
      <c r="X14" s="332"/>
      <c r="Y14" s="332"/>
      <c r="Z14" s="309"/>
    </row>
    <row r="15" spans="1:26">
      <c r="B15" s="456"/>
    </row>
    <row r="16" spans="1:26">
      <c r="A16">
        <v>3</v>
      </c>
      <c r="B16" s="303" t="s">
        <v>365</v>
      </c>
      <c r="Q16" s="307" t="s">
        <v>343</v>
      </c>
    </row>
    <row r="17" spans="1:31">
      <c r="B17" s="456" t="s">
        <v>358</v>
      </c>
      <c r="C17" s="450" t="str">
        <f>C9</f>
        <v>A.22-05-015 / 016 Track 3</v>
      </c>
      <c r="D17" s="450" t="str">
        <f>D9</f>
        <v>GRC P1 Track 3 - WMPMA**</v>
      </c>
      <c r="E17" s="450"/>
      <c r="F17" s="450"/>
      <c r="G17" s="450"/>
      <c r="H17" s="455"/>
      <c r="I17" s="455"/>
      <c r="J17" s="455"/>
      <c r="K17" s="455"/>
      <c r="L17" s="455"/>
      <c r="M17" s="455"/>
      <c r="N17" s="455"/>
      <c r="O17" s="455"/>
      <c r="P17" s="455"/>
      <c r="Q17" s="14">
        <f>Q9</f>
        <v>389190.19314164098</v>
      </c>
      <c r="R17" s="13"/>
    </row>
    <row r="18" spans="1:31">
      <c r="B18" s="456" t="s">
        <v>361</v>
      </c>
      <c r="C18" s="450" t="str">
        <f t="shared" ref="C18:D18" si="0">C10</f>
        <v>A.22-05-016 Track 2</v>
      </c>
      <c r="D18" s="450" t="str">
        <f t="shared" si="0"/>
        <v>GRC Track 2 – 2019-2022 WMPMA*</v>
      </c>
      <c r="E18" s="450"/>
      <c r="F18" s="450"/>
      <c r="G18" s="450"/>
      <c r="H18" s="455"/>
      <c r="I18" s="455"/>
      <c r="J18" s="455"/>
      <c r="K18" s="455"/>
      <c r="L18" s="455"/>
      <c r="M18" s="455"/>
      <c r="N18" s="455"/>
      <c r="O18" s="455"/>
      <c r="P18" s="455"/>
      <c r="Q18" s="14">
        <f t="shared" ref="Q18" si="1">Q10</f>
        <v>365229.56697210664</v>
      </c>
      <c r="R18" s="13"/>
    </row>
    <row r="19" spans="1:31">
      <c r="B19" s="456" t="s">
        <v>362</v>
      </c>
      <c r="C19" s="450" t="str">
        <f t="shared" ref="C19:D19" si="2">C11</f>
        <v>A.25-03-013</v>
      </c>
      <c r="D19" s="450" t="str">
        <f t="shared" si="2"/>
        <v>2026 Cost of Capital</v>
      </c>
      <c r="Q19" s="14">
        <f>Q11</f>
        <v>72343.032391531917</v>
      </c>
      <c r="R19" s="13"/>
    </row>
    <row r="20" spans="1:31">
      <c r="B20" s="456" t="s">
        <v>363</v>
      </c>
      <c r="C20" t="s">
        <v>511</v>
      </c>
      <c r="D20" s="450" t="s">
        <v>516</v>
      </c>
      <c r="E20" s="450"/>
      <c r="F20" s="450"/>
      <c r="G20" s="450"/>
      <c r="H20" s="455"/>
      <c r="I20" s="455"/>
      <c r="J20" s="455"/>
      <c r="K20" s="455"/>
      <c r="L20" s="455"/>
      <c r="M20" s="455"/>
      <c r="N20" s="455"/>
      <c r="O20" s="455"/>
      <c r="P20" s="455"/>
      <c r="Q20" s="14">
        <f>Q12</f>
        <v>654614.07944976666</v>
      </c>
      <c r="R20" s="13"/>
    </row>
    <row r="22" spans="1:31">
      <c r="B22" s="456"/>
      <c r="C22" s="222"/>
      <c r="D22" s="450"/>
      <c r="E22" s="450"/>
      <c r="F22" s="450"/>
      <c r="G22" s="450"/>
      <c r="H22" s="455"/>
      <c r="I22" s="455"/>
      <c r="J22" s="455"/>
      <c r="K22" s="455"/>
      <c r="L22" s="455"/>
      <c r="M22" s="455"/>
      <c r="N22" s="455"/>
      <c r="O22" s="455"/>
      <c r="P22" s="455"/>
      <c r="Q22" s="14"/>
      <c r="R22" s="13"/>
    </row>
    <row r="24" spans="1:31">
      <c r="A24">
        <v>4</v>
      </c>
      <c r="B24" t="s">
        <v>366</v>
      </c>
      <c r="Q24" s="307" t="s">
        <v>343</v>
      </c>
    </row>
    <row r="25" spans="1:31">
      <c r="B25" s="456" t="s">
        <v>358</v>
      </c>
      <c r="C25" s="450" t="s">
        <v>505</v>
      </c>
      <c r="D25" s="450" t="s">
        <v>477</v>
      </c>
      <c r="E25" s="450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14">
        <f>'Incremental Rev Req'!G128</f>
        <v>-27778.290364648128</v>
      </c>
      <c r="R25" s="13"/>
      <c r="V25" s="309"/>
      <c r="W25" s="332"/>
      <c r="X25" s="332"/>
      <c r="Y25" s="332"/>
      <c r="Z25" s="309"/>
    </row>
    <row r="26" spans="1:31">
      <c r="B26" s="456" t="s">
        <v>361</v>
      </c>
      <c r="C26" s="450" t="s">
        <v>497</v>
      </c>
      <c r="D26" s="450" t="s">
        <v>101</v>
      </c>
      <c r="E26" s="450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14">
        <f>SUM('Incremental Rev Req'!G129:J129)</f>
        <v>-97141.220625964954</v>
      </c>
      <c r="R26" s="13"/>
    </row>
    <row r="27" spans="1:31">
      <c r="B27" s="27"/>
      <c r="R27" s="13"/>
      <c r="W27"/>
      <c r="X27"/>
      <c r="Y27"/>
      <c r="AC27"/>
      <c r="AD27"/>
      <c r="AE27"/>
    </row>
    <row r="28" spans="1:31">
      <c r="W28"/>
      <c r="X28"/>
      <c r="Y28"/>
      <c r="AC28"/>
      <c r="AD28"/>
      <c r="AE28"/>
    </row>
    <row r="29" spans="1:31">
      <c r="A29">
        <v>5</v>
      </c>
      <c r="B29" s="551" t="s">
        <v>367</v>
      </c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2"/>
      <c r="N29" s="552"/>
      <c r="O29" s="552"/>
      <c r="P29" s="552"/>
      <c r="W29"/>
      <c r="X29"/>
      <c r="Y29"/>
      <c r="AC29"/>
      <c r="AD29"/>
      <c r="AE29"/>
    </row>
    <row r="30" spans="1:31">
      <c r="B30" s="27" t="s">
        <v>358</v>
      </c>
      <c r="C30" s="27" t="s">
        <v>368</v>
      </c>
      <c r="Q30" s="13">
        <f>'Incremental Rev Req'!P108</f>
        <v>4308732.9498201078</v>
      </c>
      <c r="W30"/>
      <c r="X30"/>
      <c r="Y30"/>
      <c r="AC30"/>
      <c r="AD30"/>
      <c r="AE30"/>
    </row>
    <row r="31" spans="1:31">
      <c r="B31" s="27" t="s">
        <v>361</v>
      </c>
      <c r="C31" s="27" t="s">
        <v>372</v>
      </c>
      <c r="Q31" s="13">
        <f>'Incremental Rev Req'!Q108</f>
        <v>5023983.6884514121</v>
      </c>
      <c r="W31"/>
      <c r="X31"/>
      <c r="Y31"/>
      <c r="AC31"/>
      <c r="AD31"/>
      <c r="AE31"/>
    </row>
    <row r="32" spans="1:31">
      <c r="B32" s="27" t="s">
        <v>362</v>
      </c>
      <c r="C32" s="27" t="s">
        <v>373</v>
      </c>
      <c r="Q32" s="13">
        <f>'Incremental Rev Req'!R108</f>
        <v>5119268.4533184916</v>
      </c>
      <c r="W32"/>
      <c r="X32"/>
      <c r="Y32"/>
      <c r="AC32"/>
      <c r="AD32"/>
      <c r="AE32"/>
    </row>
    <row r="33" spans="1:31">
      <c r="B33" s="27" t="s">
        <v>363</v>
      </c>
      <c r="C33" s="27" t="s">
        <v>427</v>
      </c>
      <c r="Q33" s="13">
        <f>'Incremental Rev Req'!S108</f>
        <v>5094045.4474203866</v>
      </c>
      <c r="W33"/>
      <c r="X33"/>
      <c r="Y33"/>
      <c r="AC33"/>
      <c r="AD33"/>
      <c r="AE33"/>
    </row>
    <row r="34" spans="1:31">
      <c r="B34" s="27" t="s">
        <v>364</v>
      </c>
      <c r="C34" s="27" t="s">
        <v>476</v>
      </c>
      <c r="Q34" s="13">
        <f>'Incremental Rev Req'!T108</f>
        <v>5085333.7598353336</v>
      </c>
      <c r="W34"/>
      <c r="X34"/>
      <c r="Y34"/>
      <c r="AC34"/>
      <c r="AD34"/>
      <c r="AE34"/>
    </row>
    <row r="35" spans="1:31">
      <c r="R35" s="13"/>
      <c r="W35"/>
      <c r="X35"/>
      <c r="Y35"/>
      <c r="AC35"/>
      <c r="AD35"/>
      <c r="AE35"/>
    </row>
    <row r="36" spans="1:31">
      <c r="A36" s="608">
        <v>6</v>
      </c>
      <c r="B36" s="553" t="s">
        <v>369</v>
      </c>
      <c r="C36" s="553"/>
      <c r="D36" s="553"/>
      <c r="E36" s="553"/>
      <c r="F36" s="553"/>
      <c r="G36" s="553"/>
      <c r="H36" s="553"/>
      <c r="I36" s="553"/>
      <c r="J36" s="553"/>
      <c r="K36" s="553"/>
      <c r="L36" s="552"/>
      <c r="M36" s="552"/>
      <c r="N36" s="552"/>
      <c r="O36" s="552"/>
      <c r="R36" s="304" t="s">
        <v>370</v>
      </c>
      <c r="W36"/>
      <c r="X36"/>
      <c r="Y36"/>
      <c r="AC36"/>
      <c r="AD36"/>
      <c r="AE36"/>
    </row>
    <row r="37" spans="1:31">
      <c r="A37" s="608"/>
      <c r="B37" s="27" t="s">
        <v>358</v>
      </c>
      <c r="C37" s="27" t="s">
        <v>368</v>
      </c>
      <c r="Q37" s="495"/>
      <c r="R37" s="405">
        <v>37.064367988816059</v>
      </c>
      <c r="W37"/>
      <c r="X37"/>
      <c r="Y37"/>
      <c r="AC37"/>
      <c r="AD37"/>
      <c r="AE37"/>
    </row>
    <row r="38" spans="1:31">
      <c r="A38" s="608"/>
      <c r="B38" s="27" t="s">
        <v>361</v>
      </c>
      <c r="C38" s="27" t="s">
        <v>372</v>
      </c>
      <c r="Q38" s="334"/>
      <c r="R38" s="405">
        <v>43.450386276134324</v>
      </c>
      <c r="W38"/>
      <c r="X38"/>
      <c r="Y38"/>
      <c r="AC38"/>
      <c r="AD38"/>
      <c r="AE38"/>
    </row>
    <row r="39" spans="1:31">
      <c r="A39" s="608"/>
      <c r="B39" s="27" t="s">
        <v>362</v>
      </c>
      <c r="C39" s="27" t="s">
        <v>373</v>
      </c>
      <c r="R39" s="405">
        <v>44.986785410615653</v>
      </c>
      <c r="W39"/>
      <c r="X39"/>
      <c r="Y39"/>
      <c r="AC39"/>
      <c r="AD39"/>
      <c r="AE39"/>
    </row>
    <row r="40" spans="1:31">
      <c r="A40" s="608"/>
      <c r="B40" s="27" t="s">
        <v>363</v>
      </c>
      <c r="C40" s="27" t="s">
        <v>427</v>
      </c>
      <c r="R40" s="405">
        <v>44.855653378054114</v>
      </c>
      <c r="W40"/>
      <c r="X40"/>
      <c r="Y40"/>
      <c r="AC40"/>
      <c r="AD40"/>
      <c r="AE40"/>
    </row>
    <row r="41" spans="1:31">
      <c r="A41" s="608"/>
      <c r="B41" s="27" t="s">
        <v>364</v>
      </c>
      <c r="C41" s="27" t="s">
        <v>476</v>
      </c>
      <c r="R41" s="405">
        <v>44.785949294868431</v>
      </c>
      <c r="W41"/>
      <c r="X41"/>
      <c r="Y41"/>
      <c r="AC41"/>
      <c r="AD41"/>
      <c r="AE41"/>
    </row>
    <row r="42" spans="1:31">
      <c r="A42" s="608"/>
      <c r="W42"/>
      <c r="X42"/>
      <c r="Y42"/>
      <c r="AC42"/>
      <c r="AD42"/>
      <c r="AE42"/>
    </row>
    <row r="43" spans="1:31">
      <c r="A43" s="608">
        <v>7</v>
      </c>
      <c r="B43" s="49" t="s">
        <v>376</v>
      </c>
      <c r="S43" s="304" t="s">
        <v>153</v>
      </c>
      <c r="T43" s="304" t="s">
        <v>154</v>
      </c>
      <c r="W43"/>
      <c r="X43"/>
      <c r="Y43"/>
      <c r="AC43"/>
      <c r="AD43"/>
      <c r="AE43"/>
    </row>
    <row r="44" spans="1:31">
      <c r="A44" s="608"/>
      <c r="B44" s="27" t="s">
        <v>358</v>
      </c>
      <c r="C44" s="27" t="s">
        <v>368</v>
      </c>
      <c r="Q44" s="496"/>
      <c r="R44" s="496"/>
      <c r="S44" s="428">
        <v>163.70964604174782</v>
      </c>
      <c r="T44" s="428">
        <v>90.677688198287555</v>
      </c>
      <c r="W44"/>
      <c r="X44"/>
      <c r="Y44"/>
      <c r="AC44"/>
      <c r="AD44"/>
      <c r="AE44"/>
    </row>
    <row r="45" spans="1:31">
      <c r="A45" s="608"/>
      <c r="B45" s="27" t="s">
        <v>361</v>
      </c>
      <c r="C45" s="27" t="s">
        <v>372</v>
      </c>
      <c r="Q45" s="333"/>
      <c r="R45" s="333"/>
      <c r="S45" s="428">
        <v>188.31850089477817</v>
      </c>
      <c r="T45" s="428">
        <v>108.34699590282564</v>
      </c>
      <c r="W45"/>
      <c r="X45"/>
      <c r="Y45"/>
      <c r="AC45"/>
      <c r="AD45"/>
      <c r="AE45"/>
    </row>
    <row r="46" spans="1:31">
      <c r="A46" s="608"/>
      <c r="B46" s="27" t="s">
        <v>362</v>
      </c>
      <c r="C46" s="27" t="s">
        <v>373</v>
      </c>
      <c r="S46" s="428">
        <v>194.08148353689072</v>
      </c>
      <c r="T46" s="428">
        <v>112.03497387794737</v>
      </c>
      <c r="W46"/>
      <c r="X46"/>
      <c r="Y46"/>
      <c r="AC46"/>
      <c r="AD46"/>
      <c r="AE46"/>
    </row>
    <row r="47" spans="1:31">
      <c r="A47" s="608"/>
      <c r="B47" s="27" t="s">
        <v>363</v>
      </c>
      <c r="C47" s="27" t="s">
        <v>427</v>
      </c>
      <c r="Q47" s="331"/>
      <c r="R47" s="331"/>
      <c r="S47" s="428">
        <v>193.58961159390617</v>
      </c>
      <c r="T47" s="428">
        <v>111.72020407818229</v>
      </c>
      <c r="W47"/>
      <c r="X47"/>
      <c r="Y47"/>
      <c r="AC47"/>
      <c r="AD47"/>
      <c r="AE47"/>
    </row>
    <row r="48" spans="1:31">
      <c r="A48" s="608"/>
      <c r="B48" s="27" t="s">
        <v>364</v>
      </c>
      <c r="C48" s="27" t="s">
        <v>476</v>
      </c>
      <c r="Q48" s="331"/>
      <c r="R48" s="331"/>
      <c r="S48" s="428">
        <v>193.32815386949846</v>
      </c>
      <c r="T48" s="428">
        <v>111.5528861477074</v>
      </c>
      <c r="W48"/>
      <c r="X48"/>
      <c r="Y48"/>
      <c r="AC48"/>
      <c r="AD48"/>
      <c r="AE48"/>
    </row>
    <row r="49" spans="1:36">
      <c r="A49" s="608"/>
      <c r="B49" s="305"/>
      <c r="W49"/>
      <c r="X49"/>
      <c r="Y49"/>
      <c r="AC49"/>
      <c r="AD49"/>
      <c r="AE49"/>
    </row>
    <row r="50" spans="1:36">
      <c r="A50" s="608">
        <v>8</v>
      </c>
      <c r="B50" t="s">
        <v>440</v>
      </c>
      <c r="R50" s="304" t="s">
        <v>370</v>
      </c>
      <c r="W50"/>
      <c r="X50"/>
      <c r="Y50"/>
      <c r="AC50"/>
      <c r="AD50"/>
      <c r="AE50"/>
    </row>
    <row r="51" spans="1:36">
      <c r="A51" s="608"/>
      <c r="B51" s="27" t="s">
        <v>358</v>
      </c>
      <c r="C51" s="27" t="s">
        <v>368</v>
      </c>
      <c r="Q51" s="495"/>
      <c r="R51" s="405">
        <v>36.979953066045795</v>
      </c>
      <c r="W51"/>
      <c r="X51"/>
      <c r="Y51"/>
      <c r="AC51"/>
      <c r="AD51"/>
      <c r="AE51"/>
    </row>
    <row r="52" spans="1:36">
      <c r="A52" s="608"/>
      <c r="B52" s="27" t="s">
        <v>361</v>
      </c>
      <c r="C52" s="27" t="s">
        <v>372</v>
      </c>
      <c r="Q52" s="334"/>
      <c r="R52" s="405">
        <v>38.857852314338871</v>
      </c>
      <c r="W52"/>
      <c r="X52"/>
      <c r="Y52"/>
      <c r="AC52"/>
      <c r="AD52"/>
      <c r="AE52"/>
    </row>
    <row r="53" spans="1:36">
      <c r="A53" s="608"/>
      <c r="B53" s="27" t="s">
        <v>362</v>
      </c>
      <c r="C53" s="27" t="s">
        <v>373</v>
      </c>
      <c r="R53" s="405">
        <v>40.13276567092268</v>
      </c>
      <c r="W53"/>
      <c r="X53"/>
      <c r="Y53"/>
      <c r="AC53"/>
      <c r="AD53"/>
      <c r="AE53"/>
    </row>
    <row r="54" spans="1:36">
      <c r="A54" s="608"/>
      <c r="B54" s="27" t="s">
        <v>363</v>
      </c>
      <c r="C54" s="27" t="s">
        <v>427</v>
      </c>
      <c r="R54" s="405">
        <v>39.992312757624333</v>
      </c>
      <c r="W54"/>
      <c r="X54"/>
      <c r="Y54"/>
      <c r="AC54"/>
      <c r="AD54"/>
      <c r="AE54"/>
    </row>
    <row r="55" spans="1:36">
      <c r="A55" s="608"/>
      <c r="B55" s="27" t="s">
        <v>364</v>
      </c>
      <c r="C55" s="27" t="s">
        <v>476</v>
      </c>
      <c r="R55" s="405">
        <v>39.931708648914181</v>
      </c>
      <c r="W55"/>
      <c r="X55"/>
      <c r="Y55"/>
      <c r="AC55"/>
      <c r="AD55"/>
      <c r="AE55"/>
    </row>
    <row r="56" spans="1:36">
      <c r="A56" s="608"/>
      <c r="W56"/>
      <c r="X56"/>
      <c r="Y56"/>
      <c r="AC56"/>
      <c r="AD56"/>
      <c r="AE56"/>
    </row>
    <row r="57" spans="1:36">
      <c r="A57" s="608">
        <v>9</v>
      </c>
      <c r="B57" s="49" t="s">
        <v>491</v>
      </c>
      <c r="S57" s="304" t="s">
        <v>412</v>
      </c>
      <c r="T57" s="304" t="s">
        <v>413</v>
      </c>
      <c r="U57" s="304" t="s">
        <v>414</v>
      </c>
      <c r="W57"/>
      <c r="X57"/>
      <c r="Y57"/>
      <c r="AC57"/>
      <c r="AD57"/>
      <c r="AE57"/>
    </row>
    <row r="58" spans="1:36">
      <c r="B58" s="27" t="s">
        <v>358</v>
      </c>
      <c r="C58" s="27" t="s">
        <v>368</v>
      </c>
      <c r="P58" s="496"/>
      <c r="Q58" s="496"/>
      <c r="R58" s="496"/>
      <c r="S58" s="428">
        <v>383.13373363126129</v>
      </c>
      <c r="T58" s="428">
        <v>428.23617286462724</v>
      </c>
      <c r="U58" s="428">
        <v>1063.1770458829371</v>
      </c>
      <c r="W58"/>
      <c r="X58"/>
      <c r="Y58"/>
      <c r="AC58"/>
      <c r="AD58"/>
      <c r="AE58"/>
    </row>
    <row r="59" spans="1:36">
      <c r="B59" s="27" t="s">
        <v>361</v>
      </c>
      <c r="C59" s="27" t="s">
        <v>372</v>
      </c>
      <c r="R59" s="406"/>
      <c r="S59" s="428">
        <v>398.27139301631399</v>
      </c>
      <c r="T59" s="428">
        <v>444.93113083175695</v>
      </c>
      <c r="U59" s="428">
        <v>1105.7325079127079</v>
      </c>
      <c r="W59"/>
      <c r="X59"/>
      <c r="Y59"/>
      <c r="AC59"/>
      <c r="AD59"/>
      <c r="AE59"/>
    </row>
    <row r="60" spans="1:36">
      <c r="B60" s="27" t="s">
        <v>362</v>
      </c>
      <c r="C60" s="27" t="s">
        <v>373</v>
      </c>
      <c r="R60" s="333"/>
      <c r="S60" s="428">
        <v>410.81200864042233</v>
      </c>
      <c r="T60" s="428">
        <v>458.76187212410929</v>
      </c>
      <c r="U60" s="428">
        <v>1140.9870792071742</v>
      </c>
      <c r="W60"/>
      <c r="X60"/>
      <c r="Y60"/>
      <c r="AC60"/>
      <c r="AD60"/>
      <c r="AE60"/>
    </row>
    <row r="61" spans="1:36">
      <c r="B61" s="27" t="s">
        <v>363</v>
      </c>
      <c r="C61" s="27" t="s">
        <v>427</v>
      </c>
      <c r="R61" s="331"/>
      <c r="S61" s="428">
        <v>409.43045122723419</v>
      </c>
      <c r="T61" s="428">
        <v>457.23818590845002</v>
      </c>
      <c r="U61" s="428">
        <v>1137.103201750074</v>
      </c>
      <c r="W61"/>
      <c r="X61"/>
      <c r="Y61"/>
      <c r="AC61"/>
      <c r="AD61"/>
      <c r="AE61"/>
    </row>
    <row r="62" spans="1:36">
      <c r="B62" s="27" t="s">
        <v>364</v>
      </c>
      <c r="C62" s="27" t="s">
        <v>476</v>
      </c>
      <c r="R62" s="331"/>
      <c r="S62" s="428">
        <v>408.83432222077994</v>
      </c>
      <c r="T62" s="428">
        <v>456.58072966289797</v>
      </c>
      <c r="U62" s="428">
        <v>1135.4273452220784</v>
      </c>
      <c r="W62"/>
      <c r="X62"/>
      <c r="Y62"/>
      <c r="AC62"/>
      <c r="AD62"/>
      <c r="AE62"/>
    </row>
    <row r="63" spans="1:36">
      <c r="B63" s="305"/>
      <c r="AI63" s="302"/>
      <c r="AJ63" s="302"/>
    </row>
    <row r="64" spans="1:36">
      <c r="B64" s="305"/>
    </row>
    <row r="65" spans="2:38">
      <c r="B65" s="305"/>
      <c r="W65" s="414"/>
    </row>
    <row r="66" spans="2:38">
      <c r="B66" s="305"/>
      <c r="W66" s="415"/>
      <c r="Z66" s="330"/>
      <c r="AF66" s="330"/>
      <c r="AL66" s="330"/>
    </row>
    <row r="67" spans="2:38">
      <c r="B67" s="305"/>
      <c r="W67" s="415"/>
    </row>
    <row r="68" spans="2:38">
      <c r="B68" s="305"/>
      <c r="W68" s="415"/>
    </row>
    <row r="69" spans="2:38">
      <c r="B69" s="27" t="s">
        <v>379</v>
      </c>
      <c r="C69" s="49" t="s">
        <v>490</v>
      </c>
      <c r="W69" s="415"/>
    </row>
    <row r="70" spans="2:38">
      <c r="B70" s="27" t="s">
        <v>439</v>
      </c>
      <c r="C70" s="49" t="s">
        <v>512</v>
      </c>
    </row>
    <row r="71" spans="2:38">
      <c r="B71" s="27"/>
    </row>
  </sheetData>
  <mergeCells count="2">
    <mergeCell ref="B29:P29"/>
    <mergeCell ref="B36:O36"/>
  </mergeCells>
  <phoneticPr fontId="4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9D28-87E3-445F-89CF-C3F304F54B9A}">
  <sheetPr codeName="Sheet1">
    <pageSetUpPr fitToPage="1"/>
  </sheetPr>
  <dimension ref="A1:Y187"/>
  <sheetViews>
    <sheetView zoomScale="80" zoomScaleNormal="80" workbookViewId="0"/>
  </sheetViews>
  <sheetFormatPr defaultRowHeight="14.4" outlineLevelCol="1"/>
  <cols>
    <col min="1" max="1" width="89.109375" bestFit="1" customWidth="1"/>
    <col min="2" max="2" width="61.88671875" customWidth="1"/>
    <col min="3" max="14" width="14.44140625" hidden="1" customWidth="1" outlineLevel="1"/>
    <col min="15" max="15" width="14.44140625" customWidth="1" collapsed="1"/>
    <col min="16" max="19" width="14.44140625" customWidth="1"/>
    <col min="20" max="20" width="28.44140625" bestFit="1" customWidth="1"/>
    <col min="21" max="21" width="12" customWidth="1"/>
    <col min="22" max="22" width="17.44140625" bestFit="1" customWidth="1"/>
    <col min="23" max="23" width="14.44140625" customWidth="1"/>
    <col min="24" max="24" width="14.109375" bestFit="1" customWidth="1"/>
    <col min="25" max="25" width="15" style="290" bestFit="1" customWidth="1"/>
  </cols>
  <sheetData>
    <row r="1" spans="1:25" s="608" customFormat="1" ht="18">
      <c r="A1" s="736" t="s">
        <v>588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Y1" s="738"/>
    </row>
    <row r="2" spans="1:25" ht="18">
      <c r="A2" s="736" t="s">
        <v>464</v>
      </c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W2" s="17"/>
    </row>
    <row r="3" spans="1:25" ht="18">
      <c r="A3" s="736" t="s">
        <v>585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W3" s="17"/>
    </row>
    <row r="4" spans="1:25" ht="18">
      <c r="A4" s="736" t="s">
        <v>586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297"/>
      <c r="N4" s="297"/>
      <c r="O4" s="297"/>
      <c r="P4" s="297"/>
      <c r="Q4" s="297"/>
      <c r="R4" s="297"/>
      <c r="S4" s="297"/>
      <c r="T4" t="s">
        <v>478</v>
      </c>
      <c r="W4" s="17"/>
    </row>
    <row r="5" spans="1:25">
      <c r="B5" t="s">
        <v>17</v>
      </c>
      <c r="C5" s="182">
        <v>43862</v>
      </c>
      <c r="D5" s="182">
        <v>43922</v>
      </c>
      <c r="E5" s="182">
        <v>43983</v>
      </c>
      <c r="F5" s="182">
        <v>44105</v>
      </c>
      <c r="G5" s="182">
        <v>44228</v>
      </c>
      <c r="H5" s="182">
        <v>44256</v>
      </c>
      <c r="I5" s="182">
        <v>44348</v>
      </c>
      <c r="J5" s="182">
        <v>44501</v>
      </c>
      <c r="K5" s="182">
        <v>44562</v>
      </c>
      <c r="L5" s="182">
        <v>44713</v>
      </c>
      <c r="M5" s="182">
        <v>44927</v>
      </c>
      <c r="N5" s="182">
        <v>45292</v>
      </c>
      <c r="O5" s="182">
        <v>45352</v>
      </c>
      <c r="P5" s="182">
        <v>45566</v>
      </c>
      <c r="Q5" s="182">
        <v>45689</v>
      </c>
      <c r="R5" s="182">
        <v>45809</v>
      </c>
      <c r="S5" s="607">
        <v>45931</v>
      </c>
      <c r="W5" s="182"/>
    </row>
    <row r="6" spans="1:25">
      <c r="B6" t="s">
        <v>18</v>
      </c>
      <c r="C6" t="s">
        <v>155</v>
      </c>
      <c r="D6" t="s">
        <v>204</v>
      </c>
      <c r="E6" t="s">
        <v>218</v>
      </c>
      <c r="F6" t="s">
        <v>224</v>
      </c>
      <c r="G6" t="s">
        <v>236</v>
      </c>
      <c r="H6" t="s">
        <v>253</v>
      </c>
      <c r="I6" t="s">
        <v>269</v>
      </c>
      <c r="J6" t="s">
        <v>306</v>
      </c>
      <c r="K6" t="s">
        <v>328</v>
      </c>
      <c r="L6" t="s">
        <v>334</v>
      </c>
      <c r="M6" t="s">
        <v>513</v>
      </c>
      <c r="N6" t="s">
        <v>395</v>
      </c>
      <c r="O6" t="s">
        <v>446</v>
      </c>
      <c r="P6" t="s">
        <v>462</v>
      </c>
      <c r="Q6" t="s">
        <v>494</v>
      </c>
      <c r="R6" t="s">
        <v>539</v>
      </c>
      <c r="S6" s="608" t="s">
        <v>519</v>
      </c>
    </row>
    <row r="7" spans="1:25" ht="62.25" customHeight="1">
      <c r="A7" s="19" t="s">
        <v>0</v>
      </c>
      <c r="B7" s="497" t="str">
        <f>_xlfn.TEXTJOIN(" ",TRUE,"Authority for Revenue Requirement as of",Summary!E31)</f>
        <v>Authority for Revenue Requirement as of 10/1/25</v>
      </c>
      <c r="C7" s="11" t="s">
        <v>16</v>
      </c>
      <c r="D7" s="11" t="s">
        <v>16</v>
      </c>
      <c r="E7" s="11" t="s">
        <v>16</v>
      </c>
      <c r="F7" s="11" t="s">
        <v>16</v>
      </c>
      <c r="G7" s="11" t="s">
        <v>16</v>
      </c>
      <c r="H7" s="11" t="s">
        <v>16</v>
      </c>
      <c r="I7" s="11" t="s">
        <v>16</v>
      </c>
      <c r="J7" s="11" t="s">
        <v>16</v>
      </c>
      <c r="K7" s="11" t="s">
        <v>16</v>
      </c>
      <c r="L7" s="11" t="s">
        <v>16</v>
      </c>
      <c r="M7" s="11" t="s">
        <v>16</v>
      </c>
      <c r="N7" s="11" t="s">
        <v>16</v>
      </c>
      <c r="O7" s="11" t="s">
        <v>16</v>
      </c>
      <c r="P7" s="11" t="s">
        <v>16</v>
      </c>
      <c r="Q7" s="11" t="s">
        <v>16</v>
      </c>
      <c r="R7" s="11" t="s">
        <v>16</v>
      </c>
      <c r="S7" s="11" t="s">
        <v>16</v>
      </c>
      <c r="T7" s="11" t="s">
        <v>1</v>
      </c>
      <c r="U7" s="11" t="s">
        <v>15</v>
      </c>
      <c r="V7" s="305"/>
      <c r="W7" s="33"/>
    </row>
    <row r="8" spans="1:25">
      <c r="A8" s="18" t="s">
        <v>2</v>
      </c>
    </row>
    <row r="9" spans="1:25">
      <c r="A9" t="s">
        <v>19</v>
      </c>
      <c r="B9" s="12" t="s">
        <v>543</v>
      </c>
      <c r="C9" s="12">
        <v>1477315.7596823999</v>
      </c>
      <c r="D9" s="12">
        <v>1477315.7596823999</v>
      </c>
      <c r="E9" s="12">
        <v>1477315.7596823999</v>
      </c>
      <c r="F9" s="12">
        <v>1477315.7596823999</v>
      </c>
      <c r="G9" s="12">
        <v>1558749.6462927</v>
      </c>
      <c r="H9" s="12">
        <v>1558749.6462927</v>
      </c>
      <c r="I9" s="12">
        <v>1558749.6462927</v>
      </c>
      <c r="J9" s="12">
        <v>1558749.6462927</v>
      </c>
      <c r="K9" s="12">
        <v>1628214.3345532001</v>
      </c>
      <c r="L9" s="12">
        <v>1622781.4869994856</v>
      </c>
      <c r="M9" s="12">
        <v>1673262.9692801998</v>
      </c>
      <c r="N9" s="12">
        <v>1673262.9692801998</v>
      </c>
      <c r="O9" s="12">
        <v>1720272.5372833791</v>
      </c>
      <c r="P9" s="12">
        <v>1720272.5372833791</v>
      </c>
      <c r="Q9" s="12">
        <v>2016576.1387274999</v>
      </c>
      <c r="R9" s="12">
        <v>2016576.1387274999</v>
      </c>
      <c r="S9" s="609">
        <v>2016576.1387274999</v>
      </c>
      <c r="T9" t="s">
        <v>5</v>
      </c>
      <c r="U9" t="s">
        <v>24</v>
      </c>
      <c r="V9" s="336"/>
      <c r="W9" s="12"/>
      <c r="X9" s="12"/>
      <c r="Y9" s="291"/>
    </row>
    <row r="10" spans="1:25">
      <c r="A10" t="s">
        <v>19</v>
      </c>
      <c r="B10" s="12" t="s">
        <v>543</v>
      </c>
      <c r="C10" s="12">
        <v>198523.7366944</v>
      </c>
      <c r="D10" s="12">
        <v>198523.7366944</v>
      </c>
      <c r="E10" s="12">
        <v>198523.7366944</v>
      </c>
      <c r="F10" s="12">
        <v>198523.7366944</v>
      </c>
      <c r="G10" s="12">
        <v>200900.22403919999</v>
      </c>
      <c r="H10" s="12">
        <v>200900.22403919999</v>
      </c>
      <c r="I10" s="12">
        <v>200900.22403919999</v>
      </c>
      <c r="J10" s="12">
        <v>200900.22403919999</v>
      </c>
      <c r="K10" s="12">
        <v>203501.2640546</v>
      </c>
      <c r="L10" s="12">
        <v>203055.40087854289</v>
      </c>
      <c r="M10" s="12">
        <v>202592.5097464</v>
      </c>
      <c r="N10" s="12">
        <v>202592.5097464</v>
      </c>
      <c r="O10" s="12">
        <v>206976.1183843688</v>
      </c>
      <c r="P10" s="12">
        <v>206976.1183843688</v>
      </c>
      <c r="Q10" s="12">
        <v>218153.07271800001</v>
      </c>
      <c r="R10" s="12">
        <v>218153.07271800001</v>
      </c>
      <c r="S10" s="609">
        <v>218153.07271800001</v>
      </c>
      <c r="T10" t="s">
        <v>3</v>
      </c>
      <c r="U10" t="s">
        <v>24</v>
      </c>
      <c r="V10" s="336"/>
      <c r="W10" s="12"/>
      <c r="X10" s="12"/>
      <c r="Y10" s="291"/>
    </row>
    <row r="11" spans="1:25">
      <c r="A11" t="s">
        <v>210</v>
      </c>
      <c r="B11" s="12" t="s">
        <v>544</v>
      </c>
      <c r="C11" s="12">
        <v>38304.415000000001</v>
      </c>
      <c r="D11" s="12">
        <v>38304.415000000001</v>
      </c>
      <c r="E11" s="12">
        <v>38304.415000000001</v>
      </c>
      <c r="F11" s="12">
        <v>38304.415000000001</v>
      </c>
      <c r="G11" s="12">
        <v>38722.434000000001</v>
      </c>
      <c r="H11" s="12">
        <v>38722.434000000001</v>
      </c>
      <c r="I11" s="12">
        <v>38722.434000000001</v>
      </c>
      <c r="J11" s="12">
        <v>38722.434000000001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40">
        <v>166603.17092951052</v>
      </c>
      <c r="R11" s="340">
        <v>166603.17092951052</v>
      </c>
      <c r="S11" s="610">
        <v>166603.17092951052</v>
      </c>
      <c r="T11" t="s">
        <v>5</v>
      </c>
      <c r="U11" t="s">
        <v>26</v>
      </c>
      <c r="V11" s="336"/>
      <c r="W11" s="12"/>
      <c r="X11" s="12"/>
      <c r="Y11" s="291"/>
    </row>
    <row r="12" spans="1:25">
      <c r="A12" t="s">
        <v>210</v>
      </c>
      <c r="B12" s="12" t="s">
        <v>545</v>
      </c>
      <c r="C12" s="12">
        <v>-19594.055499999999</v>
      </c>
      <c r="D12" s="12">
        <v>-19594.055499999999</v>
      </c>
      <c r="E12" s="12">
        <v>-19594.055499999999</v>
      </c>
      <c r="F12" s="12">
        <v>-19594.055499999999</v>
      </c>
      <c r="G12" s="12">
        <v>-19807.915000000001</v>
      </c>
      <c r="H12" s="12">
        <v>-19807.915000000001</v>
      </c>
      <c r="I12" s="12">
        <v>-19807.915000000001</v>
      </c>
      <c r="J12" s="12">
        <v>-19807.915000000001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40">
        <v>-14343.037775307326</v>
      </c>
      <c r="R12" s="340">
        <v>-14343.037775307326</v>
      </c>
      <c r="S12" s="610">
        <v>-14343.037775307326</v>
      </c>
      <c r="T12" t="s">
        <v>3</v>
      </c>
      <c r="U12" t="s">
        <v>26</v>
      </c>
      <c r="V12" s="336"/>
      <c r="W12" s="12"/>
      <c r="X12" s="12"/>
      <c r="Y12" s="291"/>
    </row>
    <row r="13" spans="1:25">
      <c r="A13" t="s">
        <v>210</v>
      </c>
      <c r="B13" s="12" t="s">
        <v>544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40">
        <v>19839.868520808574</v>
      </c>
      <c r="R13" s="340">
        <v>19839.868520808574</v>
      </c>
      <c r="S13" s="610">
        <v>19839.868520808574</v>
      </c>
      <c r="T13" t="s">
        <v>256</v>
      </c>
      <c r="U13" t="s">
        <v>26</v>
      </c>
      <c r="V13" s="336"/>
      <c r="W13" s="12"/>
      <c r="X13" s="12"/>
      <c r="Y13" s="291"/>
    </row>
    <row r="14" spans="1:25">
      <c r="A14" t="s">
        <v>208</v>
      </c>
      <c r="B14" s="12" t="s">
        <v>479</v>
      </c>
      <c r="C14" s="12">
        <v>-32053.919132110164</v>
      </c>
      <c r="D14" s="12">
        <v>-32053.919132110164</v>
      </c>
      <c r="E14" s="12">
        <v>-32053.919132110164</v>
      </c>
      <c r="F14" s="12">
        <v>-32053.919132110164</v>
      </c>
      <c r="G14" s="12">
        <v>-32053.919132110164</v>
      </c>
      <c r="H14" s="12">
        <v>-32053.919132110164</v>
      </c>
      <c r="I14" s="12">
        <v>-32053.919132110164</v>
      </c>
      <c r="J14" s="12">
        <v>-32053.919132110164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609">
        <v>0</v>
      </c>
      <c r="T14" t="s">
        <v>5</v>
      </c>
      <c r="U14" t="s">
        <v>24</v>
      </c>
      <c r="V14" s="336"/>
      <c r="W14" s="12"/>
      <c r="X14" s="12"/>
      <c r="Y14" s="291"/>
    </row>
    <row r="15" spans="1:25">
      <c r="A15" t="s">
        <v>208</v>
      </c>
      <c r="B15" s="12" t="s">
        <v>479</v>
      </c>
      <c r="C15" s="12">
        <v>-7335.0289387033235</v>
      </c>
      <c r="D15" s="12">
        <v>-7335.0289387033235</v>
      </c>
      <c r="E15" s="12">
        <v>-7335.0289387033235</v>
      </c>
      <c r="F15" s="12">
        <v>-7335.0289387033235</v>
      </c>
      <c r="G15" s="12">
        <v>-7335.0289387033235</v>
      </c>
      <c r="H15" s="12">
        <v>-7335.0289387033235</v>
      </c>
      <c r="I15" s="12">
        <v>-7335.0289387033235</v>
      </c>
      <c r="J15" s="12">
        <v>-7335.0289387033235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609">
        <v>0</v>
      </c>
      <c r="T15" t="s">
        <v>3</v>
      </c>
      <c r="U15" t="s">
        <v>24</v>
      </c>
      <c r="V15" s="336"/>
      <c r="W15" s="12"/>
      <c r="X15" s="12"/>
      <c r="Y15" s="291"/>
    </row>
    <row r="16" spans="1:25">
      <c r="A16" s="13" t="s">
        <v>240</v>
      </c>
      <c r="B16" s="12" t="s">
        <v>479</v>
      </c>
      <c r="C16" s="12">
        <v>0</v>
      </c>
      <c r="D16" s="12">
        <v>0</v>
      </c>
      <c r="E16" s="12">
        <v>0</v>
      </c>
      <c r="F16" s="12">
        <v>0</v>
      </c>
      <c r="G16" s="12">
        <v>-7486.5516527999998</v>
      </c>
      <c r="H16" s="12">
        <v>-7486.5516527999998</v>
      </c>
      <c r="I16" s="12">
        <v>-7486.5516527999998</v>
      </c>
      <c r="J16" s="12">
        <v>-7486.5516527999998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609">
        <v>0</v>
      </c>
      <c r="T16" t="s">
        <v>5</v>
      </c>
      <c r="U16" t="s">
        <v>26</v>
      </c>
      <c r="V16" s="336"/>
      <c r="W16" s="12"/>
      <c r="X16" s="12"/>
      <c r="Y16" s="291"/>
    </row>
    <row r="17" spans="1:25">
      <c r="A17" s="13" t="s">
        <v>239</v>
      </c>
      <c r="B17" s="12" t="s">
        <v>479</v>
      </c>
      <c r="C17" s="12">
        <v>0</v>
      </c>
      <c r="D17" s="12">
        <v>0</v>
      </c>
      <c r="E17" s="12">
        <v>0</v>
      </c>
      <c r="F17" s="12">
        <v>0</v>
      </c>
      <c r="G17" s="12">
        <v>-53.643027799999999</v>
      </c>
      <c r="H17" s="12">
        <v>-53.643027799999999</v>
      </c>
      <c r="I17" s="12">
        <v>-53.643027799999999</v>
      </c>
      <c r="J17" s="12">
        <v>-53.643027799999999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609">
        <v>0</v>
      </c>
      <c r="T17" t="s">
        <v>3</v>
      </c>
      <c r="U17" t="s">
        <v>26</v>
      </c>
      <c r="V17" s="336"/>
      <c r="W17" s="338"/>
      <c r="X17" s="338"/>
      <c r="Y17" s="291"/>
    </row>
    <row r="18" spans="1:25">
      <c r="A18" s="13" t="s">
        <v>40</v>
      </c>
      <c r="B18" s="12" t="s">
        <v>546</v>
      </c>
      <c r="C18" s="12">
        <v>801215.36425870005</v>
      </c>
      <c r="D18" s="12">
        <v>801215.36425870005</v>
      </c>
      <c r="E18" s="12">
        <v>801215.36425870005</v>
      </c>
      <c r="F18" s="12">
        <v>801215.36425870005</v>
      </c>
      <c r="G18" s="12">
        <v>801215.36425870005</v>
      </c>
      <c r="H18" s="12">
        <v>663435.15883986873</v>
      </c>
      <c r="I18" s="12">
        <v>663435.15883986873</v>
      </c>
      <c r="J18" s="12">
        <v>663435.15883986873</v>
      </c>
      <c r="K18" s="12">
        <v>786860.06604541873</v>
      </c>
      <c r="L18" s="12">
        <v>786860.06604541873</v>
      </c>
      <c r="M18" s="12">
        <v>545074.22041898174</v>
      </c>
      <c r="N18" s="12">
        <v>487032.04468507774</v>
      </c>
      <c r="O18" s="12">
        <v>487032.04468507774</v>
      </c>
      <c r="P18" s="12">
        <v>487032.04468507774</v>
      </c>
      <c r="Q18" s="12">
        <v>464895.44433890504</v>
      </c>
      <c r="R18" s="12">
        <v>464895.44433890504</v>
      </c>
      <c r="S18" s="609">
        <v>464895.44433890504</v>
      </c>
      <c r="T18" t="s">
        <v>3</v>
      </c>
      <c r="U18" t="s">
        <v>24</v>
      </c>
      <c r="V18" s="336"/>
      <c r="W18" s="338"/>
      <c r="X18" s="338"/>
      <c r="Y18" s="337"/>
    </row>
    <row r="19" spans="1:25">
      <c r="A19" s="13" t="s">
        <v>41</v>
      </c>
      <c r="B19" s="12" t="s">
        <v>479</v>
      </c>
      <c r="C19" s="12">
        <v>0</v>
      </c>
      <c r="D19" s="12">
        <v>-186232.39839999998</v>
      </c>
      <c r="E19" s="12">
        <v>-186232.39839999998</v>
      </c>
      <c r="F19" s="12">
        <v>-186232.39839999998</v>
      </c>
      <c r="G19" s="12">
        <v>0</v>
      </c>
      <c r="H19" s="12">
        <v>55341.557366349334</v>
      </c>
      <c r="I19" s="12">
        <v>55341.557366349334</v>
      </c>
      <c r="J19" s="12">
        <v>55341.557366349334</v>
      </c>
      <c r="K19" s="12">
        <v>149125.7809671688</v>
      </c>
      <c r="L19" s="12">
        <v>149125.7809671688</v>
      </c>
      <c r="M19" s="12">
        <v>-4541.853247395592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609">
        <v>0</v>
      </c>
      <c r="T19" t="s">
        <v>3</v>
      </c>
      <c r="U19" t="s">
        <v>24</v>
      </c>
      <c r="V19" s="336"/>
      <c r="W19" s="339"/>
      <c r="X19" s="340"/>
      <c r="Y19" s="337"/>
    </row>
    <row r="20" spans="1:25">
      <c r="A20" t="s">
        <v>53</v>
      </c>
      <c r="B20" s="12" t="s">
        <v>547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106558.60764250722</v>
      </c>
      <c r="N20" s="12">
        <v>-78073.242312040151</v>
      </c>
      <c r="O20" s="12">
        <v>-78073.242312040151</v>
      </c>
      <c r="P20" s="12">
        <v>-78073.242312040151</v>
      </c>
      <c r="Q20" s="12">
        <v>121137.34030850908</v>
      </c>
      <c r="R20" s="12">
        <v>121137.34030850908</v>
      </c>
      <c r="S20" s="609">
        <v>121137.34030850908</v>
      </c>
      <c r="T20" t="s">
        <v>3</v>
      </c>
      <c r="U20" t="s">
        <v>26</v>
      </c>
      <c r="V20" s="336"/>
      <c r="W20" s="12"/>
      <c r="X20" s="12"/>
      <c r="Y20" s="291"/>
    </row>
    <row r="21" spans="1:25">
      <c r="A21" t="s">
        <v>335</v>
      </c>
      <c r="B21" s="12" t="s">
        <v>480</v>
      </c>
      <c r="C21" s="12">
        <v>352010.14804195391</v>
      </c>
      <c r="D21" s="12">
        <v>352010.14804195391</v>
      </c>
      <c r="E21" s="12">
        <v>352010.14804195391</v>
      </c>
      <c r="F21" s="12">
        <v>352010.14804195391</v>
      </c>
      <c r="G21" s="12">
        <v>352010.14804195391</v>
      </c>
      <c r="H21" s="12">
        <v>224966.11872143956</v>
      </c>
      <c r="I21" s="12">
        <v>224966.11872143956</v>
      </c>
      <c r="J21" s="12">
        <v>224966.11872143956</v>
      </c>
      <c r="K21" s="12">
        <v>30288.3684359037</v>
      </c>
      <c r="L21" s="12">
        <v>30288.3684359037</v>
      </c>
      <c r="M21" s="12">
        <v>41.484471775096608</v>
      </c>
      <c r="N21" s="12">
        <v>-94445.891028563361</v>
      </c>
      <c r="O21" s="12">
        <v>-97290.830192037392</v>
      </c>
      <c r="P21" s="12">
        <v>-97290.830192037392</v>
      </c>
      <c r="Q21" s="12">
        <v>-66097.75023491781</v>
      </c>
      <c r="R21" s="12">
        <v>-66097.75023491781</v>
      </c>
      <c r="S21" s="609">
        <v>-66097.75023491781</v>
      </c>
      <c r="T21" t="s">
        <v>3</v>
      </c>
      <c r="U21" t="s">
        <v>24</v>
      </c>
      <c r="V21" s="336"/>
      <c r="W21" s="12"/>
      <c r="X21" s="12"/>
      <c r="Y21" s="291"/>
    </row>
    <row r="22" spans="1:25">
      <c r="A22" t="s">
        <v>207</v>
      </c>
      <c r="B22" s="12" t="s">
        <v>547</v>
      </c>
      <c r="C22" s="12">
        <v>254053.64200475891</v>
      </c>
      <c r="D22" s="12">
        <v>254053.64200475891</v>
      </c>
      <c r="E22" s="12">
        <v>254053.64200475891</v>
      </c>
      <c r="F22" s="12">
        <v>254053.64200475891</v>
      </c>
      <c r="G22" s="12">
        <v>254053.64200475891</v>
      </c>
      <c r="H22" s="12">
        <v>97010.609932855412</v>
      </c>
      <c r="I22" s="12">
        <v>97010.609932855412</v>
      </c>
      <c r="J22" s="12">
        <v>97010.609932855412</v>
      </c>
      <c r="K22" s="12">
        <v>-49396.580372743534</v>
      </c>
      <c r="L22" s="12">
        <v>-49396.580372743534</v>
      </c>
      <c r="M22" s="12">
        <v>-7303.5433951182349</v>
      </c>
      <c r="N22" s="12">
        <v>51403.58499015007</v>
      </c>
      <c r="O22" s="12">
        <v>50883.296223820733</v>
      </c>
      <c r="P22" s="12">
        <v>50883.296223820733</v>
      </c>
      <c r="Q22" s="12">
        <v>-132513.70493383484</v>
      </c>
      <c r="R22" s="12">
        <v>-132513.70493383484</v>
      </c>
      <c r="S22" s="609">
        <v>-132513.70493383484</v>
      </c>
      <c r="T22" t="s">
        <v>3</v>
      </c>
      <c r="U22" t="s">
        <v>26</v>
      </c>
      <c r="V22" s="336"/>
      <c r="W22" s="12"/>
      <c r="X22" s="12"/>
      <c r="Y22" s="291"/>
    </row>
    <row r="23" spans="1:25">
      <c r="A23" t="s">
        <v>325</v>
      </c>
      <c r="B23" s="12" t="s">
        <v>479</v>
      </c>
      <c r="C23" s="12">
        <v>0</v>
      </c>
      <c r="D23" s="12">
        <v>0</v>
      </c>
      <c r="E23" s="12">
        <v>0</v>
      </c>
      <c r="F23" s="12">
        <v>0</v>
      </c>
      <c r="G23" s="12">
        <v>-2471.0007218152782</v>
      </c>
      <c r="H23" s="12">
        <v>-2471.0007218152782</v>
      </c>
      <c r="I23" s="12">
        <v>-2471.0007218152782</v>
      </c>
      <c r="J23" s="12">
        <v>-2471.0007218152782</v>
      </c>
      <c r="K23" s="12">
        <v>-2470.7040940930806</v>
      </c>
      <c r="L23" s="12">
        <v>-2470.7040940930806</v>
      </c>
      <c r="M23" s="12">
        <v>-428.1251468284795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609">
        <v>0</v>
      </c>
      <c r="T23" t="s">
        <v>3</v>
      </c>
      <c r="U23" t="s">
        <v>24</v>
      </c>
      <c r="V23" s="336"/>
      <c r="W23" s="12"/>
      <c r="X23" s="12"/>
      <c r="Y23" s="291"/>
    </row>
    <row r="24" spans="1:25">
      <c r="A24" t="s">
        <v>326</v>
      </c>
      <c r="B24" s="12" t="s">
        <v>479</v>
      </c>
      <c r="C24" s="12">
        <v>9839.3111363526241</v>
      </c>
      <c r="D24" s="12">
        <v>9839.3111363526241</v>
      </c>
      <c r="E24" s="12">
        <v>9839.3111363526241</v>
      </c>
      <c r="F24" s="12">
        <v>9839.3111363526241</v>
      </c>
      <c r="G24" s="12">
        <v>9839.3111363526241</v>
      </c>
      <c r="H24" s="12">
        <v>22488.622374953778</v>
      </c>
      <c r="I24" s="12">
        <v>22488.622374953778</v>
      </c>
      <c r="J24" s="12">
        <v>22488.622374953778</v>
      </c>
      <c r="K24" s="12">
        <v>-17985.713429346531</v>
      </c>
      <c r="L24" s="12">
        <v>-17985.713429346531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609">
        <v>0</v>
      </c>
      <c r="T24" t="s">
        <v>3</v>
      </c>
      <c r="U24" t="s">
        <v>24</v>
      </c>
      <c r="V24" s="336"/>
      <c r="W24" s="12"/>
      <c r="X24" s="12"/>
      <c r="Y24" s="291"/>
    </row>
    <row r="25" spans="1:25">
      <c r="A25" t="s">
        <v>310</v>
      </c>
      <c r="B25" s="12" t="s">
        <v>479</v>
      </c>
      <c r="C25" s="12">
        <v>0</v>
      </c>
      <c r="D25" s="12">
        <v>0</v>
      </c>
      <c r="E25" s="12">
        <v>0</v>
      </c>
      <c r="F25" s="12">
        <v>0</v>
      </c>
      <c r="G25" s="12">
        <v>2471.0007218152782</v>
      </c>
      <c r="H25" s="12">
        <v>2471.0007218152782</v>
      </c>
      <c r="I25" s="12">
        <v>2471.0007218152782</v>
      </c>
      <c r="J25" s="12">
        <v>2471.0007218152782</v>
      </c>
      <c r="K25" s="12">
        <v>2470.7040940930806</v>
      </c>
      <c r="L25" s="12">
        <v>2470.7040940930806</v>
      </c>
      <c r="M25" s="12">
        <v>-2700.7391953273445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609">
        <v>0</v>
      </c>
      <c r="T25" t="s">
        <v>256</v>
      </c>
      <c r="U25" t="s">
        <v>24</v>
      </c>
      <c r="V25" s="336"/>
      <c r="W25" s="12"/>
      <c r="X25" s="12"/>
      <c r="Y25" s="291"/>
    </row>
    <row r="26" spans="1:25">
      <c r="A26" t="s">
        <v>336</v>
      </c>
      <c r="B26" s="12" t="s">
        <v>547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98129.888763111332</v>
      </c>
      <c r="I26" s="12">
        <v>98129.888763111332</v>
      </c>
      <c r="J26" s="12">
        <v>98129.888763111332</v>
      </c>
      <c r="K26" s="12">
        <v>153061.7712138943</v>
      </c>
      <c r="L26" s="12">
        <v>153061.7712138943</v>
      </c>
      <c r="M26" s="12">
        <v>97929.459201915961</v>
      </c>
      <c r="N26" s="12">
        <v>60194.209131811956</v>
      </c>
      <c r="O26" s="12">
        <v>63009.916720960238</v>
      </c>
      <c r="P26" s="12">
        <v>63009.916720960238</v>
      </c>
      <c r="Q26" s="12">
        <v>-3939.3649907225172</v>
      </c>
      <c r="R26" s="12">
        <v>-3939.3649907225172</v>
      </c>
      <c r="S26" s="609">
        <v>-3939.3649907225172</v>
      </c>
      <c r="T26" t="s">
        <v>256</v>
      </c>
      <c r="U26" t="s">
        <v>24</v>
      </c>
      <c r="V26" s="336"/>
      <c r="W26" s="12"/>
      <c r="X26" s="12"/>
      <c r="Y26" s="291"/>
    </row>
    <row r="27" spans="1:25">
      <c r="A27" t="s">
        <v>255</v>
      </c>
      <c r="B27" s="12" t="s">
        <v>547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26801.531556966504</v>
      </c>
      <c r="I27" s="12">
        <v>26801.531556966504</v>
      </c>
      <c r="J27" s="12">
        <v>26801.531556966504</v>
      </c>
      <c r="K27" s="12">
        <v>-62287.582937048333</v>
      </c>
      <c r="L27" s="12">
        <v>-62287.582937048333</v>
      </c>
      <c r="M27" s="12">
        <v>-7362.4888490041121</v>
      </c>
      <c r="N27" s="12">
        <v>52533.713465837092</v>
      </c>
      <c r="O27" s="12">
        <v>53048.656297202651</v>
      </c>
      <c r="P27" s="12">
        <v>53048.656297202651</v>
      </c>
      <c r="Q27" s="12">
        <v>-189199.81541037062</v>
      </c>
      <c r="R27" s="12">
        <v>-189199.81541037062</v>
      </c>
      <c r="S27" s="609">
        <v>-189199.81541037062</v>
      </c>
      <c r="T27" t="s">
        <v>256</v>
      </c>
      <c r="U27" t="s">
        <v>26</v>
      </c>
      <c r="V27" s="336"/>
      <c r="W27" s="12"/>
      <c r="X27" s="12"/>
      <c r="Y27" s="291"/>
    </row>
    <row r="28" spans="1:25">
      <c r="A28" t="s">
        <v>311</v>
      </c>
      <c r="B28" s="12" t="s">
        <v>479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13113.836794822102</v>
      </c>
      <c r="L28" s="12">
        <v>13113.836794822102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609">
        <v>0</v>
      </c>
      <c r="T28" t="s">
        <v>256</v>
      </c>
      <c r="U28" t="s">
        <v>24</v>
      </c>
      <c r="V28" s="336"/>
      <c r="W28" s="12"/>
      <c r="X28" s="12"/>
      <c r="Y28" s="291"/>
    </row>
    <row r="29" spans="1:25">
      <c r="A29" t="s">
        <v>312</v>
      </c>
      <c r="B29" s="12" t="s">
        <v>479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17985.713429346531</v>
      </c>
      <c r="L29" s="12">
        <v>17985.713429346531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609">
        <v>0</v>
      </c>
      <c r="T29" t="s">
        <v>256</v>
      </c>
      <c r="U29" t="s">
        <v>24</v>
      </c>
      <c r="V29" s="336"/>
      <c r="W29" s="12"/>
      <c r="X29" s="12"/>
      <c r="Y29" s="291"/>
    </row>
    <row r="30" spans="1:25">
      <c r="A30" t="s">
        <v>428</v>
      </c>
      <c r="B30" s="12" t="s">
        <v>547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56139.34870353376</v>
      </c>
      <c r="L30" s="12">
        <v>56139.34870353376</v>
      </c>
      <c r="M30" s="12">
        <v>52668.024321018689</v>
      </c>
      <c r="N30" s="12">
        <v>-14112.271914700001</v>
      </c>
      <c r="O30" s="12">
        <v>-14112.271914700001</v>
      </c>
      <c r="P30" s="12">
        <v>-14112.271914700001</v>
      </c>
      <c r="Q30" s="12">
        <v>7369.6605196006794</v>
      </c>
      <c r="R30" s="12">
        <v>7369.6605196006794</v>
      </c>
      <c r="S30" s="609">
        <v>7369.6605196006794</v>
      </c>
      <c r="T30" t="s">
        <v>256</v>
      </c>
      <c r="U30" t="s">
        <v>24</v>
      </c>
      <c r="V30" s="336"/>
      <c r="W30" s="12"/>
      <c r="X30" s="12"/>
      <c r="Y30" s="291"/>
    </row>
    <row r="31" spans="1:25">
      <c r="A31" t="s">
        <v>25</v>
      </c>
      <c r="B31" s="12" t="s">
        <v>548</v>
      </c>
      <c r="C31" s="12">
        <v>77873.209604699994</v>
      </c>
      <c r="D31" s="12">
        <v>77873.209604699994</v>
      </c>
      <c r="E31" s="12">
        <v>77873.209604699994</v>
      </c>
      <c r="F31" s="12">
        <v>77873.209604699994</v>
      </c>
      <c r="G31" s="12">
        <v>56543.384849999995</v>
      </c>
      <c r="H31" s="12">
        <v>56543.384849999995</v>
      </c>
      <c r="I31" s="12">
        <v>56543.384849999995</v>
      </c>
      <c r="J31" s="12">
        <v>56543.384849999995</v>
      </c>
      <c r="K31" s="12">
        <v>88240.647853200004</v>
      </c>
      <c r="L31" s="12">
        <v>88240.647853200004</v>
      </c>
      <c r="M31" s="12">
        <v>-17637.3861</v>
      </c>
      <c r="N31" s="12">
        <v>60174.611399999994</v>
      </c>
      <c r="O31" s="12">
        <v>60174.611399999994</v>
      </c>
      <c r="P31" s="12">
        <v>60174.611399999994</v>
      </c>
      <c r="Q31" s="12">
        <v>287612.83949999994</v>
      </c>
      <c r="R31" s="12">
        <v>287612.83949999994</v>
      </c>
      <c r="S31" s="609">
        <v>287612.83949999994</v>
      </c>
      <c r="T31" t="s">
        <v>5</v>
      </c>
      <c r="U31" t="s">
        <v>26</v>
      </c>
      <c r="V31" s="336"/>
      <c r="W31" s="12"/>
      <c r="X31" s="12"/>
      <c r="Y31" s="291"/>
    </row>
    <row r="32" spans="1:25">
      <c r="A32" t="s">
        <v>27</v>
      </c>
      <c r="B32" s="12" t="s">
        <v>549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36482.420390634747</v>
      </c>
      <c r="R32" s="12">
        <v>36482.420390634747</v>
      </c>
      <c r="S32" s="609">
        <v>36482.420390634747</v>
      </c>
      <c r="T32" t="s">
        <v>5</v>
      </c>
      <c r="U32" t="s">
        <v>24</v>
      </c>
      <c r="V32" s="336"/>
      <c r="W32" s="12"/>
      <c r="X32" s="12"/>
      <c r="Y32" s="291"/>
    </row>
    <row r="33" spans="1:25">
      <c r="A33" t="s">
        <v>30</v>
      </c>
      <c r="B33" s="12" t="s">
        <v>548</v>
      </c>
      <c r="C33" s="12">
        <v>948.26887619999991</v>
      </c>
      <c r="D33" s="12">
        <v>948.26887619999991</v>
      </c>
      <c r="E33" s="12">
        <v>948.26887619999991</v>
      </c>
      <c r="F33" s="12">
        <v>948.26887619999991</v>
      </c>
      <c r="G33" s="12">
        <v>129.68666249999998</v>
      </c>
      <c r="H33" s="12">
        <v>129.68666249999998</v>
      </c>
      <c r="I33" s="12">
        <v>129.68666249999998</v>
      </c>
      <c r="J33" s="12">
        <v>129.68666249999998</v>
      </c>
      <c r="K33" s="12">
        <v>-642.13116339999999</v>
      </c>
      <c r="L33" s="12">
        <v>-642.13116339999999</v>
      </c>
      <c r="M33" s="12">
        <v>-4106.3984813999996</v>
      </c>
      <c r="N33" s="12">
        <v>-3725.6384402999997</v>
      </c>
      <c r="O33" s="12">
        <v>-3725.6384402999997</v>
      </c>
      <c r="P33" s="12">
        <v>-3725.6384402999997</v>
      </c>
      <c r="Q33" s="12">
        <v>-4131.4494164999996</v>
      </c>
      <c r="R33" s="12">
        <v>-4131.4494164999996</v>
      </c>
      <c r="S33" s="609">
        <v>-4131.4494164999996</v>
      </c>
      <c r="T33" t="s">
        <v>5</v>
      </c>
      <c r="U33" t="s">
        <v>26</v>
      </c>
      <c r="V33" s="336"/>
      <c r="W33" s="12"/>
      <c r="X33" s="12"/>
      <c r="Y33" s="291"/>
    </row>
    <row r="34" spans="1:25">
      <c r="A34" t="s">
        <v>39</v>
      </c>
      <c r="B34" s="12" t="s">
        <v>548</v>
      </c>
      <c r="C34" s="12">
        <v>-405.6598803</v>
      </c>
      <c r="D34" s="12">
        <v>-405.6598803</v>
      </c>
      <c r="E34" s="12">
        <v>-405.6598803</v>
      </c>
      <c r="F34" s="12">
        <v>-405.6598803</v>
      </c>
      <c r="G34" s="12">
        <v>-1520.9651778</v>
      </c>
      <c r="H34" s="12">
        <v>-1520.9651778</v>
      </c>
      <c r="I34" s="12">
        <v>-1520.9651778</v>
      </c>
      <c r="J34" s="12">
        <v>-1520.9651778</v>
      </c>
      <c r="K34" s="12">
        <v>-1694.0229237999999</v>
      </c>
      <c r="L34" s="12">
        <v>-1694.0229237999999</v>
      </c>
      <c r="M34" s="12">
        <v>-1381.9410756</v>
      </c>
      <c r="N34" s="12">
        <v>-1145.3926031999999</v>
      </c>
      <c r="O34" s="12">
        <v>-1145.3926031999999</v>
      </c>
      <c r="P34" s="12">
        <v>-1145.3926031999999</v>
      </c>
      <c r="Q34" s="12">
        <v>113.17617149999998</v>
      </c>
      <c r="R34" s="12">
        <v>113.17617149999998</v>
      </c>
      <c r="S34" s="609">
        <v>113.17617149999998</v>
      </c>
      <c r="T34" t="s">
        <v>5</v>
      </c>
      <c r="U34" t="s">
        <v>26</v>
      </c>
      <c r="V34" s="336"/>
      <c r="W34" s="12"/>
      <c r="X34" s="12"/>
      <c r="Y34" s="291"/>
    </row>
    <row r="35" spans="1:25">
      <c r="A35" t="s">
        <v>31</v>
      </c>
      <c r="B35" s="12" t="s">
        <v>548</v>
      </c>
      <c r="C35" s="12">
        <v>809.24477400000001</v>
      </c>
      <c r="D35" s="12">
        <v>809.24477400000001</v>
      </c>
      <c r="E35" s="12">
        <v>809.24477400000001</v>
      </c>
      <c r="F35" s="12">
        <v>809.24477400000001</v>
      </c>
      <c r="G35" s="12">
        <v>1489.8403787999998</v>
      </c>
      <c r="H35" s="12">
        <v>1489.8403787999998</v>
      </c>
      <c r="I35" s="12">
        <v>1489.8403787999998</v>
      </c>
      <c r="J35" s="12">
        <v>1489.8403787999998</v>
      </c>
      <c r="K35" s="12">
        <v>1527.0065792</v>
      </c>
      <c r="L35" s="12">
        <v>1527.0065792</v>
      </c>
      <c r="M35" s="12">
        <v>-467.90947829999999</v>
      </c>
      <c r="N35" s="12">
        <v>641.17085939999993</v>
      </c>
      <c r="O35" s="12">
        <v>641.17085939999993</v>
      </c>
      <c r="P35" s="12">
        <v>641.17085939999993</v>
      </c>
      <c r="Q35" s="12">
        <v>646.86931049999998</v>
      </c>
      <c r="R35" s="12">
        <v>646.86931049999998</v>
      </c>
      <c r="S35" s="609">
        <v>646.86931049999998</v>
      </c>
      <c r="T35" t="s">
        <v>5</v>
      </c>
      <c r="U35" t="s">
        <v>26</v>
      </c>
      <c r="V35" s="336"/>
      <c r="W35" s="12"/>
      <c r="X35" s="12"/>
      <c r="Y35" s="291"/>
    </row>
    <row r="36" spans="1:25">
      <c r="A36" t="s">
        <v>34</v>
      </c>
      <c r="B36" s="12" t="s">
        <v>548</v>
      </c>
      <c r="C36" s="12">
        <v>170.14890119999998</v>
      </c>
      <c r="D36" s="12">
        <v>170.14890119999998</v>
      </c>
      <c r="E36" s="12">
        <v>170.14890119999998</v>
      </c>
      <c r="F36" s="12">
        <v>170.14890119999998</v>
      </c>
      <c r="G36" s="12">
        <v>82.999463999999989</v>
      </c>
      <c r="H36" s="12">
        <v>82.999463999999989</v>
      </c>
      <c r="I36" s="12">
        <v>82.999463999999989</v>
      </c>
      <c r="J36" s="12">
        <v>82.999463999999989</v>
      </c>
      <c r="K36" s="12">
        <v>311.21057999999999</v>
      </c>
      <c r="L36" s="12">
        <v>311.21057999999999</v>
      </c>
      <c r="M36" s="12">
        <v>132.79914239999999</v>
      </c>
      <c r="N36" s="12">
        <v>161.8489548</v>
      </c>
      <c r="O36" s="12">
        <v>161.8489548</v>
      </c>
      <c r="P36" s="12">
        <v>161.8489548</v>
      </c>
      <c r="Q36" s="12">
        <v>97.601468999999994</v>
      </c>
      <c r="R36" s="12">
        <v>97.601468999999994</v>
      </c>
      <c r="S36" s="609">
        <v>97.601468999999994</v>
      </c>
      <c r="T36" t="s">
        <v>5</v>
      </c>
      <c r="U36" t="s">
        <v>26</v>
      </c>
      <c r="V36" s="336"/>
      <c r="W36" s="12"/>
      <c r="X36" s="12"/>
      <c r="Y36" s="291"/>
    </row>
    <row r="37" spans="1:25">
      <c r="A37" s="13" t="s">
        <v>42</v>
      </c>
      <c r="B37" s="12" t="s">
        <v>479</v>
      </c>
      <c r="C37" s="12">
        <v>-1100</v>
      </c>
      <c r="D37" s="12">
        <v>-1100</v>
      </c>
      <c r="E37" s="12">
        <v>-1100</v>
      </c>
      <c r="F37" s="12">
        <v>-1100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609">
        <v>0</v>
      </c>
      <c r="T37" t="s">
        <v>3</v>
      </c>
      <c r="U37" t="s">
        <v>24</v>
      </c>
      <c r="V37" s="336"/>
      <c r="W37" s="12"/>
      <c r="X37" s="12"/>
      <c r="Y37" s="291"/>
    </row>
    <row r="38" spans="1:25">
      <c r="A38" s="13" t="s">
        <v>50</v>
      </c>
      <c r="B38" s="12" t="s">
        <v>550</v>
      </c>
      <c r="C38" s="12">
        <v>5978.5056403103417</v>
      </c>
      <c r="D38" s="12">
        <v>5978.5056403103417</v>
      </c>
      <c r="E38" s="12">
        <v>5978.5056403103417</v>
      </c>
      <c r="F38" s="12">
        <v>5978.5056403103417</v>
      </c>
      <c r="G38" s="12">
        <v>1527.3080934</v>
      </c>
      <c r="H38" s="12">
        <v>1527.3080934</v>
      </c>
      <c r="I38" s="12">
        <v>1527.3080934</v>
      </c>
      <c r="J38" s="12">
        <v>1527.3080934</v>
      </c>
      <c r="K38" s="12">
        <v>1457.2959840000001</v>
      </c>
      <c r="L38" s="12">
        <v>1457.2959840000001</v>
      </c>
      <c r="M38" s="12">
        <v>1540.4658171999999</v>
      </c>
      <c r="N38" s="12">
        <v>1540.4658171999999</v>
      </c>
      <c r="O38" s="12">
        <v>1540.4658171999999</v>
      </c>
      <c r="P38" s="12">
        <v>1540.4658171999999</v>
      </c>
      <c r="Q38" s="12">
        <v>1595.085975</v>
      </c>
      <c r="R38" s="12">
        <v>1595.085975</v>
      </c>
      <c r="S38" s="609">
        <v>1595.085975</v>
      </c>
      <c r="T38" t="s">
        <v>3</v>
      </c>
      <c r="U38" t="s">
        <v>24</v>
      </c>
      <c r="V38" s="336"/>
      <c r="W38" s="12"/>
      <c r="X38" s="12"/>
      <c r="Y38" s="291"/>
    </row>
    <row r="39" spans="1:25">
      <c r="A39" s="13" t="s">
        <v>51</v>
      </c>
      <c r="B39" s="12" t="s">
        <v>479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609">
        <v>0</v>
      </c>
      <c r="T39" t="s">
        <v>3</v>
      </c>
      <c r="U39" t="s">
        <v>24</v>
      </c>
      <c r="V39" s="336"/>
      <c r="W39" s="12"/>
      <c r="X39" s="12"/>
      <c r="Y39" s="291"/>
    </row>
    <row r="40" spans="1:25">
      <c r="A40" s="13" t="s">
        <v>52</v>
      </c>
      <c r="B40" s="12" t="s">
        <v>548</v>
      </c>
      <c r="C40" s="12">
        <v>466.99606976938986</v>
      </c>
      <c r="D40" s="12">
        <v>466.99606976938986</v>
      </c>
      <c r="E40" s="12">
        <v>466.99606976938986</v>
      </c>
      <c r="F40" s="12">
        <v>466.99606976938986</v>
      </c>
      <c r="G40" s="12">
        <v>2754.9338452659995</v>
      </c>
      <c r="H40" s="12">
        <v>2754.9338452659995</v>
      </c>
      <c r="I40" s="12">
        <v>2754.9338452659995</v>
      </c>
      <c r="J40" s="12">
        <v>2754.9338452659995</v>
      </c>
      <c r="K40" s="12">
        <v>-18223.289949766604</v>
      </c>
      <c r="L40" s="12">
        <v>-18223.289949766604</v>
      </c>
      <c r="M40" s="12">
        <v>-82533.698187948947</v>
      </c>
      <c r="N40" s="12">
        <v>-48774.079285199696</v>
      </c>
      <c r="O40" s="12">
        <v>-48774.079285199696</v>
      </c>
      <c r="P40" s="12">
        <v>-48774.079285199696</v>
      </c>
      <c r="Q40" s="12">
        <v>2182.475535031163</v>
      </c>
      <c r="R40" s="12">
        <v>2182.475535031163</v>
      </c>
      <c r="S40" s="609">
        <v>2182.475535031163</v>
      </c>
      <c r="T40" t="s">
        <v>3</v>
      </c>
      <c r="U40" t="s">
        <v>26</v>
      </c>
      <c r="V40" s="336"/>
      <c r="W40" s="12"/>
      <c r="X40" s="12"/>
      <c r="Y40" s="291"/>
    </row>
    <row r="41" spans="1:25">
      <c r="A41" s="13" t="s">
        <v>56</v>
      </c>
      <c r="B41" s="12" t="s">
        <v>551</v>
      </c>
      <c r="C41" s="12">
        <v>18724.668751262619</v>
      </c>
      <c r="D41" s="12">
        <v>18724.668751262619</v>
      </c>
      <c r="E41" s="12">
        <v>18724.668751262619</v>
      </c>
      <c r="F41" s="12">
        <v>18724.668751262619</v>
      </c>
      <c r="G41" s="12">
        <v>18724.668751262619</v>
      </c>
      <c r="H41" s="12">
        <v>11401.226441231669</v>
      </c>
      <c r="I41" s="12">
        <v>11401.226441231669</v>
      </c>
      <c r="J41" s="12">
        <v>11401.226441231669</v>
      </c>
      <c r="K41" s="12">
        <v>9575.3765038420588</v>
      </c>
      <c r="L41" s="12">
        <v>9575.3765038420588</v>
      </c>
      <c r="M41" s="12">
        <v>10765.967043677038</v>
      </c>
      <c r="N41" s="12">
        <v>4978.0553645074278</v>
      </c>
      <c r="O41" s="12">
        <v>4978.0553645074278</v>
      </c>
      <c r="P41" s="12">
        <v>4978.0553645074278</v>
      </c>
      <c r="Q41" s="12">
        <v>2311.0350881632939</v>
      </c>
      <c r="R41" s="12">
        <v>2311.0350881632939</v>
      </c>
      <c r="S41" s="609">
        <v>2311.0350881632939</v>
      </c>
      <c r="T41" t="s">
        <v>14</v>
      </c>
      <c r="U41" t="s">
        <v>24</v>
      </c>
      <c r="V41" s="336"/>
      <c r="W41" s="12"/>
      <c r="X41" s="12"/>
      <c r="Y41" s="291"/>
    </row>
    <row r="42" spans="1:25">
      <c r="A42" s="13" t="s">
        <v>57</v>
      </c>
      <c r="B42" s="12" t="s">
        <v>548</v>
      </c>
      <c r="C42" s="12">
        <v>-1680.1401159999998</v>
      </c>
      <c r="D42" s="12">
        <v>-1680.1401159999998</v>
      </c>
      <c r="E42" s="12">
        <v>-1680.1401159999998</v>
      </c>
      <c r="F42" s="12">
        <v>-1680.1401159999998</v>
      </c>
      <c r="G42" s="12">
        <v>2244.9101068</v>
      </c>
      <c r="H42" s="12">
        <v>2244.9101068</v>
      </c>
      <c r="I42" s="12">
        <v>2244.9101068</v>
      </c>
      <c r="J42" s="12">
        <v>2244.9101068</v>
      </c>
      <c r="K42" s="12">
        <v>9746.6789041000011</v>
      </c>
      <c r="L42" s="12">
        <v>9746.6789041000011</v>
      </c>
      <c r="M42" s="12">
        <v>15866.190637599999</v>
      </c>
      <c r="N42" s="12">
        <v>4920.9887011999999</v>
      </c>
      <c r="O42" s="12">
        <v>4920.9887011999999</v>
      </c>
      <c r="P42" s="12">
        <v>4920.9887011999999</v>
      </c>
      <c r="Q42" s="12">
        <v>3351.1996770000001</v>
      </c>
      <c r="R42" s="12">
        <v>3351.1996770000001</v>
      </c>
      <c r="S42" s="609">
        <v>3351.1996770000001</v>
      </c>
      <c r="T42" t="s">
        <v>14</v>
      </c>
      <c r="U42" t="s">
        <v>26</v>
      </c>
      <c r="V42" s="336"/>
      <c r="W42" s="12"/>
      <c r="X42" s="12"/>
      <c r="Y42" s="291"/>
    </row>
    <row r="43" spans="1:25">
      <c r="A43" s="13" t="s">
        <v>58</v>
      </c>
      <c r="B43" s="12" t="s">
        <v>546</v>
      </c>
      <c r="C43" s="12">
        <v>132913.61422435864</v>
      </c>
      <c r="D43" s="12">
        <v>132913.61422435864</v>
      </c>
      <c r="E43" s="12">
        <v>132913.61422435864</v>
      </c>
      <c r="F43" s="12">
        <v>132913.61422435864</v>
      </c>
      <c r="G43" s="12">
        <v>132913.61422435864</v>
      </c>
      <c r="H43" s="12">
        <v>124438.99750989386</v>
      </c>
      <c r="I43" s="12">
        <v>124438.99750989386</v>
      </c>
      <c r="J43" s="12">
        <v>124438.99750989386</v>
      </c>
      <c r="K43" s="12">
        <v>146823.98913219353</v>
      </c>
      <c r="L43" s="12">
        <v>146823.98913219353</v>
      </c>
      <c r="M43" s="12">
        <v>189848.65786940834</v>
      </c>
      <c r="N43" s="12">
        <v>207539.6836296336</v>
      </c>
      <c r="O43" s="12">
        <v>207539.6836296336</v>
      </c>
      <c r="P43" s="12">
        <v>207539.6836296336</v>
      </c>
      <c r="Q43" s="12">
        <v>194547.97944908033</v>
      </c>
      <c r="R43" s="12">
        <v>194547.97944908033</v>
      </c>
      <c r="S43" s="609">
        <v>194547.97944908033</v>
      </c>
      <c r="T43" t="s">
        <v>59</v>
      </c>
      <c r="U43" t="s">
        <v>24</v>
      </c>
      <c r="V43" s="336"/>
      <c r="W43" s="12"/>
      <c r="X43" s="12"/>
      <c r="Y43" s="291"/>
    </row>
    <row r="44" spans="1:25">
      <c r="A44" s="13" t="s">
        <v>60</v>
      </c>
      <c r="B44" s="12" t="s">
        <v>547</v>
      </c>
      <c r="C44" s="12">
        <v>14420.433000000001</v>
      </c>
      <c r="D44" s="12">
        <v>14420.433000000001</v>
      </c>
      <c r="E44" s="12">
        <v>14420.433000000001</v>
      </c>
      <c r="F44" s="12">
        <v>14420.433000000001</v>
      </c>
      <c r="G44" s="12">
        <v>14420.433000000001</v>
      </c>
      <c r="H44" s="12">
        <v>0</v>
      </c>
      <c r="I44" s="12">
        <v>0</v>
      </c>
      <c r="J44" s="12">
        <v>0</v>
      </c>
      <c r="K44" s="12">
        <v>-91971.658124724228</v>
      </c>
      <c r="L44" s="12">
        <v>-91971.658124724228</v>
      </c>
      <c r="M44" s="12">
        <v>400.31599999999997</v>
      </c>
      <c r="N44" s="12">
        <v>161229.56037695956</v>
      </c>
      <c r="O44" s="12">
        <v>161229.56037695956</v>
      </c>
      <c r="P44" s="12">
        <v>161229.56037695956</v>
      </c>
      <c r="Q44" s="12">
        <v>-83519.87394803045</v>
      </c>
      <c r="R44" s="12">
        <v>-83519.87394803045</v>
      </c>
      <c r="S44" s="609">
        <v>-83519.87394803045</v>
      </c>
      <c r="T44" t="s">
        <v>59</v>
      </c>
      <c r="U44" t="s">
        <v>26</v>
      </c>
      <c r="V44" s="336"/>
      <c r="W44" s="12"/>
      <c r="X44" s="12"/>
      <c r="Y44" s="291"/>
    </row>
    <row r="45" spans="1:25">
      <c r="A45" t="s">
        <v>79</v>
      </c>
      <c r="B45" s="12" t="s">
        <v>552</v>
      </c>
      <c r="C45" s="12">
        <v>1072.8605559999999</v>
      </c>
      <c r="D45" s="12">
        <v>1072.8605559999999</v>
      </c>
      <c r="E45" s="12">
        <v>1072.8605559999999</v>
      </c>
      <c r="F45" s="12">
        <v>1072.8605559999999</v>
      </c>
      <c r="G45" s="12">
        <v>1072.8605559999999</v>
      </c>
      <c r="H45" s="12">
        <v>1072.8605559999999</v>
      </c>
      <c r="I45" s="12">
        <v>1072.8605559999999</v>
      </c>
      <c r="J45" s="12">
        <v>1072.8605559999999</v>
      </c>
      <c r="K45" s="12">
        <v>1188.2224727319999</v>
      </c>
      <c r="L45" s="12">
        <v>1188.2224727319999</v>
      </c>
      <c r="M45" s="12">
        <v>1342.6576582538</v>
      </c>
      <c r="N45" s="12">
        <v>1301.010426029</v>
      </c>
      <c r="O45" s="12">
        <v>1301.010426029</v>
      </c>
      <c r="P45" s="12">
        <v>1301.010426029</v>
      </c>
      <c r="Q45" s="12">
        <v>0</v>
      </c>
      <c r="R45" s="12">
        <v>0</v>
      </c>
      <c r="S45" s="609">
        <v>0</v>
      </c>
      <c r="T45" t="s">
        <v>80</v>
      </c>
      <c r="U45" t="s">
        <v>24</v>
      </c>
      <c r="V45" s="336"/>
      <c r="W45" s="12"/>
      <c r="X45" s="12"/>
      <c r="Y45" s="291"/>
    </row>
    <row r="46" spans="1:25">
      <c r="A46" t="s">
        <v>81</v>
      </c>
      <c r="B46" s="12" t="s">
        <v>548</v>
      </c>
      <c r="C46" s="12">
        <v>-25.303314999999998</v>
      </c>
      <c r="D46" s="12">
        <v>-25.303314999999998</v>
      </c>
      <c r="E46" s="12">
        <v>-25.303314999999998</v>
      </c>
      <c r="F46" s="12">
        <v>-25.303314999999998</v>
      </c>
      <c r="G46" s="12">
        <v>179.14747019999999</v>
      </c>
      <c r="H46" s="12">
        <v>179.14747019999999</v>
      </c>
      <c r="I46" s="12">
        <v>179.14747019999999</v>
      </c>
      <c r="J46" s="12">
        <v>179.14747019999999</v>
      </c>
      <c r="K46" s="12">
        <v>170.01786480000001</v>
      </c>
      <c r="L46" s="12">
        <v>170.01786480000001</v>
      </c>
      <c r="M46" s="12">
        <v>21.254784599999997</v>
      </c>
      <c r="N46" s="12">
        <v>141.698564</v>
      </c>
      <c r="O46" s="12">
        <v>141.698564</v>
      </c>
      <c r="P46" s="12">
        <v>141.698564</v>
      </c>
      <c r="Q46" s="12">
        <v>211.66537700000001</v>
      </c>
      <c r="R46" s="12">
        <v>211.66537700000001</v>
      </c>
      <c r="S46" s="609">
        <v>211.66537700000001</v>
      </c>
      <c r="T46" t="s">
        <v>80</v>
      </c>
      <c r="U46" t="s">
        <v>26</v>
      </c>
      <c r="V46" s="336"/>
      <c r="W46" s="12"/>
      <c r="X46" s="12"/>
      <c r="Y46" s="291"/>
    </row>
    <row r="47" spans="1:25">
      <c r="A47" t="s">
        <v>82</v>
      </c>
      <c r="B47" s="12" t="s">
        <v>479</v>
      </c>
      <c r="C47" s="12">
        <v>89235.037634656328</v>
      </c>
      <c r="D47" s="12">
        <v>89234.737495486523</v>
      </c>
      <c r="E47" s="12">
        <v>89234.737495486523</v>
      </c>
      <c r="F47" s="12">
        <v>66926.053121614896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-48518.545714285719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609">
        <v>0</v>
      </c>
      <c r="T47" t="s">
        <v>97</v>
      </c>
      <c r="U47" t="s">
        <v>24</v>
      </c>
      <c r="V47" s="336"/>
      <c r="W47" s="12"/>
      <c r="X47" s="12"/>
      <c r="Y47" s="291"/>
    </row>
    <row r="48" spans="1:25">
      <c r="A48" t="s">
        <v>225</v>
      </c>
      <c r="B48" s="12" t="s">
        <v>553</v>
      </c>
      <c r="C48" s="12">
        <v>0</v>
      </c>
      <c r="D48" s="12">
        <v>0</v>
      </c>
      <c r="E48" s="12">
        <v>0</v>
      </c>
      <c r="F48" s="12">
        <v>22308.684373871631</v>
      </c>
      <c r="G48" s="12">
        <v>89234.737495486523</v>
      </c>
      <c r="H48" s="12">
        <v>90159.118373967591</v>
      </c>
      <c r="I48" s="12">
        <v>90159.118373967591</v>
      </c>
      <c r="J48" s="12">
        <v>90159.118373967591</v>
      </c>
      <c r="K48" s="12">
        <v>92132.448620537703</v>
      </c>
      <c r="L48" s="12">
        <v>92132.448620537703</v>
      </c>
      <c r="M48" s="12">
        <v>75464.804373230654</v>
      </c>
      <c r="N48" s="12">
        <v>84674.29105918284</v>
      </c>
      <c r="O48" s="12">
        <v>84674.29105918284</v>
      </c>
      <c r="P48" s="12">
        <v>84674.29105918284</v>
      </c>
      <c r="Q48" s="12">
        <v>91816.684925380512</v>
      </c>
      <c r="R48" s="12">
        <v>91816.684925380512</v>
      </c>
      <c r="S48" s="609">
        <v>91816.684925380512</v>
      </c>
      <c r="T48" t="s">
        <v>225</v>
      </c>
      <c r="U48" t="s">
        <v>24</v>
      </c>
      <c r="V48" s="336"/>
      <c r="W48" s="12"/>
      <c r="X48" s="12"/>
      <c r="Y48" s="291"/>
    </row>
    <row r="49" spans="1:25">
      <c r="A49" t="s">
        <v>344</v>
      </c>
      <c r="B49" s="12" t="s">
        <v>479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49157.3050858653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609">
        <v>0</v>
      </c>
      <c r="T49" t="s">
        <v>5</v>
      </c>
      <c r="U49" t="s">
        <v>24</v>
      </c>
      <c r="V49" s="336"/>
      <c r="W49" s="12"/>
      <c r="X49" s="12"/>
      <c r="Y49" s="291"/>
    </row>
    <row r="50" spans="1:25">
      <c r="A50" t="s">
        <v>345</v>
      </c>
      <c r="B50" s="12" t="s">
        <v>479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20399.187039640197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609">
        <v>0</v>
      </c>
      <c r="T50" t="s">
        <v>5</v>
      </c>
      <c r="U50" t="s">
        <v>24</v>
      </c>
      <c r="V50" s="336"/>
      <c r="W50" s="12"/>
      <c r="X50" s="12"/>
      <c r="Y50" s="291"/>
    </row>
    <row r="51" spans="1:25">
      <c r="A51" t="s">
        <v>346</v>
      </c>
      <c r="B51" s="12" t="s">
        <v>479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5846.3905841522819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609">
        <v>0</v>
      </c>
      <c r="T51" t="s">
        <v>3</v>
      </c>
      <c r="U51" t="s">
        <v>24</v>
      </c>
      <c r="V51" s="336"/>
      <c r="W51" s="12"/>
      <c r="X51" s="12"/>
      <c r="Y51" s="291"/>
    </row>
    <row r="52" spans="1:25">
      <c r="A52" t="s">
        <v>346</v>
      </c>
      <c r="B52" s="12" t="s">
        <v>479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45706.503939637616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609">
        <v>0</v>
      </c>
      <c r="T52" t="s">
        <v>5</v>
      </c>
      <c r="U52" t="s">
        <v>24</v>
      </c>
      <c r="V52" s="336"/>
      <c r="W52" s="12"/>
      <c r="X52" s="12"/>
      <c r="Y52" s="291"/>
    </row>
    <row r="53" spans="1:25">
      <c r="A53" t="s">
        <v>349</v>
      </c>
      <c r="B53" s="12" t="s">
        <v>479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10746.45935073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609">
        <v>0</v>
      </c>
      <c r="T53" t="s">
        <v>5</v>
      </c>
      <c r="U53" t="s">
        <v>24</v>
      </c>
      <c r="V53" s="336"/>
      <c r="W53" s="12"/>
      <c r="X53" s="12"/>
      <c r="Y53" s="291"/>
    </row>
    <row r="54" spans="1:25">
      <c r="A54" t="s">
        <v>388</v>
      </c>
      <c r="B54" s="12" t="s">
        <v>554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5509.0894229999994</v>
      </c>
      <c r="O54" s="12">
        <v>5509.0894229999994</v>
      </c>
      <c r="P54" s="12">
        <v>5509.0894229999994</v>
      </c>
      <c r="Q54" s="12">
        <v>5814.5555999999997</v>
      </c>
      <c r="R54" s="12">
        <v>5814.5555999999997</v>
      </c>
      <c r="S54" s="609">
        <v>5814.5555999999997</v>
      </c>
      <c r="T54" t="s">
        <v>5</v>
      </c>
      <c r="U54" t="s">
        <v>24</v>
      </c>
      <c r="V54" s="336"/>
      <c r="W54" s="12"/>
      <c r="X54" s="12"/>
      <c r="Y54" s="291"/>
    </row>
    <row r="55" spans="1:25">
      <c r="A55" t="s">
        <v>389</v>
      </c>
      <c r="B55" s="12" t="s">
        <v>546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646.63774141190402</v>
      </c>
      <c r="O55" s="12">
        <v>646.63774141190402</v>
      </c>
      <c r="P55" s="12">
        <v>646.63774141190402</v>
      </c>
      <c r="Q55" s="12">
        <v>80.182302790146849</v>
      </c>
      <c r="R55" s="12">
        <v>80.182302790146849</v>
      </c>
      <c r="S55" s="609">
        <v>80.182302790146849</v>
      </c>
      <c r="T55" t="s">
        <v>389</v>
      </c>
      <c r="U55" t="s">
        <v>24</v>
      </c>
      <c r="V55" s="336"/>
      <c r="W55" s="12"/>
      <c r="X55" s="12"/>
      <c r="Y55" s="291"/>
    </row>
    <row r="56" spans="1:25">
      <c r="A56" t="s">
        <v>394</v>
      </c>
      <c r="B56" s="12" t="s">
        <v>555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241288.05862842887</v>
      </c>
      <c r="P56" s="12">
        <v>241288.05862842887</v>
      </c>
      <c r="Q56" s="12">
        <v>99794.80313630063</v>
      </c>
      <c r="R56" s="12">
        <v>99794.80313630063</v>
      </c>
      <c r="S56" s="609">
        <v>99794.80313630063</v>
      </c>
      <c r="T56" t="s">
        <v>5</v>
      </c>
      <c r="U56" t="s">
        <v>24</v>
      </c>
      <c r="V56" s="336"/>
      <c r="W56" s="12"/>
      <c r="X56" s="12"/>
      <c r="Y56" s="291"/>
    </row>
    <row r="57" spans="1:25">
      <c r="A57" t="s">
        <v>447</v>
      </c>
      <c r="B57" s="12" t="s">
        <v>556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30408.928623</v>
      </c>
      <c r="Q57" s="12">
        <v>31070.493173999996</v>
      </c>
      <c r="R57" s="12">
        <v>31070.493173999996</v>
      </c>
      <c r="S57" s="609">
        <v>637.5244889999999</v>
      </c>
      <c r="T57" t="s">
        <v>5</v>
      </c>
      <c r="U57" t="s">
        <v>24</v>
      </c>
      <c r="V57" s="336"/>
      <c r="W57" s="12"/>
      <c r="X57" s="12"/>
      <c r="Y57" s="291"/>
    </row>
    <row r="58" spans="1: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609"/>
      <c r="V58" s="336"/>
      <c r="W58" s="12"/>
      <c r="X58" s="12"/>
    </row>
    <row r="59" spans="1: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609"/>
      <c r="V59" s="336"/>
      <c r="W59" s="12"/>
      <c r="X59" s="12"/>
    </row>
    <row r="60" spans="1: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609"/>
      <c r="T60" s="12"/>
      <c r="U60" s="12"/>
      <c r="V60" s="336"/>
      <c r="W60" s="12"/>
      <c r="X60" s="12"/>
    </row>
    <row r="61" spans="1:25">
      <c r="A61" s="18" t="s">
        <v>6</v>
      </c>
      <c r="B61" s="21"/>
      <c r="C61" s="21">
        <f t="shared" ref="C61:O61" si="0">SUM(C9:C60)</f>
        <v>3411681.2579689091</v>
      </c>
      <c r="D61" s="21">
        <f t="shared" si="0"/>
        <v>3225448.5594297396</v>
      </c>
      <c r="E61" s="21">
        <f t="shared" si="0"/>
        <v>3225448.5594297396</v>
      </c>
      <c r="F61" s="21">
        <f t="shared" si="0"/>
        <v>3225448.5594297391</v>
      </c>
      <c r="G61" s="21">
        <f t="shared" si="0"/>
        <v>3468551.2717425255</v>
      </c>
      <c r="H61" s="21">
        <f t="shared" si="0"/>
        <v>3210312.18271029</v>
      </c>
      <c r="I61" s="21">
        <f t="shared" si="0"/>
        <v>3210312.18271029</v>
      </c>
      <c r="J61" s="21">
        <f t="shared" si="0"/>
        <v>3210312.18271029</v>
      </c>
      <c r="K61" s="21">
        <f t="shared" si="0"/>
        <v>3147262.3997916635</v>
      </c>
      <c r="L61" s="21">
        <f t="shared" si="0"/>
        <v>3092865.1433476061</v>
      </c>
      <c r="M61" s="21">
        <f t="shared" si="0"/>
        <v>2976902.1512522702</v>
      </c>
      <c r="N61" s="21">
        <f t="shared" si="0"/>
        <v>2820201.6280327979</v>
      </c>
      <c r="O61" s="21">
        <f t="shared" si="0"/>
        <v>3112848.2857930851</v>
      </c>
      <c r="P61" s="21">
        <f>SUM(P9:P60)</f>
        <v>3143257.2144160853</v>
      </c>
      <c r="Q61" s="21">
        <f>SUM(Q9:Q60)</f>
        <v>3278558.7664345312</v>
      </c>
      <c r="R61" s="21">
        <f>SUM(R9:R60)</f>
        <v>3278558.7664345312</v>
      </c>
      <c r="S61" s="611">
        <v>3248125.797749531</v>
      </c>
      <c r="T61" s="15"/>
      <c r="V61" s="336"/>
      <c r="W61" s="21"/>
      <c r="X61" s="12"/>
    </row>
    <row r="62" spans="1:25">
      <c r="S62" s="608"/>
      <c r="V62" s="336"/>
      <c r="X62" s="12"/>
    </row>
    <row r="63" spans="1:25">
      <c r="A63" s="18" t="s">
        <v>7</v>
      </c>
      <c r="S63" s="608"/>
      <c r="V63" s="336"/>
      <c r="X63" s="12"/>
    </row>
    <row r="64" spans="1:25">
      <c r="A64" t="s">
        <v>20</v>
      </c>
      <c r="B64" s="12" t="s">
        <v>548</v>
      </c>
      <c r="C64" s="12">
        <v>2460.8645955489001</v>
      </c>
      <c r="D64" s="12">
        <v>2460.8645955489001</v>
      </c>
      <c r="E64" s="12">
        <v>2460.8645955489001</v>
      </c>
      <c r="F64" s="12">
        <v>2460.8645955489001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3065.9919002135998</v>
      </c>
      <c r="O64" s="12">
        <v>3065.9919002135998</v>
      </c>
      <c r="P64" s="12">
        <v>3065.9919002135998</v>
      </c>
      <c r="Q64" s="12">
        <v>0</v>
      </c>
      <c r="R64" s="12">
        <v>0</v>
      </c>
      <c r="S64" s="609">
        <v>0</v>
      </c>
      <c r="T64" t="s">
        <v>5</v>
      </c>
      <c r="U64" t="s">
        <v>24</v>
      </c>
      <c r="V64" s="336"/>
      <c r="W64" s="12"/>
      <c r="X64" s="12"/>
      <c r="Y64" s="291"/>
    </row>
    <row r="65" spans="1:25">
      <c r="A65" t="s">
        <v>21</v>
      </c>
      <c r="B65" s="12" t="s">
        <v>479</v>
      </c>
      <c r="C65" s="12">
        <v>7842.9966589774358</v>
      </c>
      <c r="D65" s="12">
        <v>7842.9966589774358</v>
      </c>
      <c r="E65" s="12">
        <v>7842.9966589774358</v>
      </c>
      <c r="F65" s="12">
        <v>7842.9966589774358</v>
      </c>
      <c r="G65" s="12">
        <v>7578.9246840164033</v>
      </c>
      <c r="H65" s="12">
        <v>7578.9246840164033</v>
      </c>
      <c r="I65" s="12">
        <v>7578.9246840164033</v>
      </c>
      <c r="J65" s="12">
        <v>7578.9246840164033</v>
      </c>
      <c r="K65" s="12">
        <v>7575.7133050282164</v>
      </c>
      <c r="L65" s="12">
        <v>7575.7133050282164</v>
      </c>
      <c r="M65" s="12">
        <v>6782.9873780056369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609">
        <v>0</v>
      </c>
      <c r="T65" t="s">
        <v>5</v>
      </c>
      <c r="U65" t="s">
        <v>24</v>
      </c>
      <c r="V65" s="336"/>
      <c r="W65" s="12"/>
      <c r="X65" s="12"/>
      <c r="Y65" s="291"/>
    </row>
    <row r="66" spans="1:25">
      <c r="A66" t="s">
        <v>110</v>
      </c>
      <c r="B66" s="12" t="s">
        <v>557</v>
      </c>
      <c r="C66" s="12">
        <v>0</v>
      </c>
      <c r="D66" s="12">
        <v>0</v>
      </c>
      <c r="E66" s="12">
        <v>0</v>
      </c>
      <c r="F66" s="12">
        <v>0</v>
      </c>
      <c r="G66" s="12">
        <v>-18242.264576517904</v>
      </c>
      <c r="H66" s="12">
        <v>-18242.264576517904</v>
      </c>
      <c r="I66" s="12">
        <v>-18242.264576517904</v>
      </c>
      <c r="J66" s="12">
        <v>-18242.264576517904</v>
      </c>
      <c r="K66" s="12">
        <v>-10363.512138304784</v>
      </c>
      <c r="L66" s="12">
        <v>-10363.512138304784</v>
      </c>
      <c r="M66" s="12">
        <v>-10098.269566881992</v>
      </c>
      <c r="N66" s="12">
        <v>-9628.1291666901761</v>
      </c>
      <c r="O66" s="12">
        <v>-10421.975347421361</v>
      </c>
      <c r="P66" s="12">
        <v>-10421.975347421361</v>
      </c>
      <c r="Q66" s="12">
        <v>-9229.3669170651228</v>
      </c>
      <c r="R66" s="12">
        <v>-9229.3669170651228</v>
      </c>
      <c r="S66" s="609">
        <v>-9229.3669170651228</v>
      </c>
      <c r="T66" t="s">
        <v>5</v>
      </c>
      <c r="U66" t="s">
        <v>24</v>
      </c>
      <c r="V66" s="336"/>
      <c r="W66" s="12"/>
      <c r="X66" s="12"/>
      <c r="Y66" s="291"/>
    </row>
    <row r="67" spans="1:25">
      <c r="A67" t="s">
        <v>111</v>
      </c>
      <c r="B67" s="12" t="s">
        <v>558</v>
      </c>
      <c r="C67" s="12">
        <v>0</v>
      </c>
      <c r="D67" s="12">
        <v>0</v>
      </c>
      <c r="E67" s="12">
        <v>0</v>
      </c>
      <c r="F67" s="12">
        <v>0</v>
      </c>
      <c r="G67" s="12">
        <v>13838.708958752715</v>
      </c>
      <c r="H67" s="12">
        <v>13838.708958752715</v>
      </c>
      <c r="I67" s="12">
        <v>13838.708958752715</v>
      </c>
      <c r="J67" s="12">
        <v>13838.708958752715</v>
      </c>
      <c r="K67" s="12">
        <v>11822.733650287277</v>
      </c>
      <c r="L67" s="12">
        <v>11822.733650287277</v>
      </c>
      <c r="M67" s="12">
        <v>14749.202182647461</v>
      </c>
      <c r="N67" s="12">
        <v>17874.03602115027</v>
      </c>
      <c r="O67" s="12">
        <v>18549.958611841474</v>
      </c>
      <c r="P67" s="12">
        <v>18549.958611841474</v>
      </c>
      <c r="Q67" s="12">
        <v>15737.903139376944</v>
      </c>
      <c r="R67" s="12">
        <v>15737.903139376944</v>
      </c>
      <c r="S67" s="609">
        <v>15737.903139376944</v>
      </c>
      <c r="T67" t="s">
        <v>5</v>
      </c>
      <c r="U67" t="s">
        <v>24</v>
      </c>
      <c r="V67" s="336"/>
      <c r="W67" s="12"/>
      <c r="X67" s="12"/>
      <c r="Y67" s="291"/>
    </row>
    <row r="68" spans="1:25">
      <c r="A68" t="s">
        <v>112</v>
      </c>
      <c r="B68" s="12" t="s">
        <v>559</v>
      </c>
      <c r="C68" s="12">
        <v>0</v>
      </c>
      <c r="D68" s="12">
        <v>0</v>
      </c>
      <c r="E68" s="12">
        <v>0</v>
      </c>
      <c r="F68" s="12">
        <v>0</v>
      </c>
      <c r="G68" s="12">
        <v>297.65388165463486</v>
      </c>
      <c r="H68" s="12">
        <v>297.65388165463486</v>
      </c>
      <c r="I68" s="12">
        <v>297.65388165463486</v>
      </c>
      <c r="J68" s="12">
        <v>297.65388165463486</v>
      </c>
      <c r="K68" s="12">
        <v>2717.1226761587423</v>
      </c>
      <c r="L68" s="12">
        <v>2717.1226761587423</v>
      </c>
      <c r="M68" s="12">
        <v>3521.4260113924061</v>
      </c>
      <c r="N68" s="12">
        <v>3442.8771572392989</v>
      </c>
      <c r="O68" s="12">
        <v>3619.679406389409</v>
      </c>
      <c r="P68" s="12">
        <v>3619.679406389409</v>
      </c>
      <c r="Q68" s="12">
        <v>3464.1058374170839</v>
      </c>
      <c r="R68" s="12">
        <v>3464.1058374170839</v>
      </c>
      <c r="S68" s="609">
        <v>3464.1058374170839</v>
      </c>
      <c r="T68" t="s">
        <v>5</v>
      </c>
      <c r="U68" t="s">
        <v>24</v>
      </c>
      <c r="V68" s="336"/>
      <c r="W68" s="12"/>
      <c r="X68" s="12"/>
      <c r="Y68" s="291"/>
    </row>
    <row r="69" spans="1:25">
      <c r="A69" t="s">
        <v>114</v>
      </c>
      <c r="B69" s="12" t="s">
        <v>560</v>
      </c>
      <c r="C69" s="12">
        <v>0</v>
      </c>
      <c r="D69" s="12">
        <v>0</v>
      </c>
      <c r="E69" s="12">
        <v>0</v>
      </c>
      <c r="F69" s="12">
        <v>0</v>
      </c>
      <c r="G69" s="12">
        <v>916.84931421797876</v>
      </c>
      <c r="H69" s="12">
        <v>916.84931421797876</v>
      </c>
      <c r="I69" s="12">
        <v>916.84931421797876</v>
      </c>
      <c r="J69" s="12">
        <v>916.84931421797876</v>
      </c>
      <c r="K69" s="12">
        <v>223.70722107676906</v>
      </c>
      <c r="L69" s="12">
        <v>223.70722107676906</v>
      </c>
      <c r="M69" s="12">
        <v>224.82059047319851</v>
      </c>
      <c r="N69" s="12">
        <v>222.196486445505</v>
      </c>
      <c r="O69" s="12">
        <v>228.67458897609933</v>
      </c>
      <c r="P69" s="12">
        <v>228.67458897609933</v>
      </c>
      <c r="Q69" s="12">
        <v>222.3452238648876</v>
      </c>
      <c r="R69" s="12">
        <v>222.3452238648876</v>
      </c>
      <c r="S69" s="609">
        <v>222.3452238648876</v>
      </c>
      <c r="T69" t="s">
        <v>5</v>
      </c>
      <c r="U69" t="s">
        <v>24</v>
      </c>
      <c r="V69" s="336"/>
      <c r="W69" s="12"/>
      <c r="X69" s="12"/>
      <c r="Y69" s="291"/>
    </row>
    <row r="70" spans="1:25">
      <c r="A70" t="s">
        <v>102</v>
      </c>
      <c r="B70" s="12" t="s">
        <v>479</v>
      </c>
      <c r="C70" s="12">
        <v>11774.82637087723</v>
      </c>
      <c r="D70" s="12">
        <v>11774.82637087723</v>
      </c>
      <c r="E70" s="12">
        <v>11774.82637087723</v>
      </c>
      <c r="F70" s="12">
        <v>11774.82637087723</v>
      </c>
      <c r="G70" s="12">
        <v>3849.8475114850912</v>
      </c>
      <c r="H70" s="12">
        <v>3849.8475114850912</v>
      </c>
      <c r="I70" s="12">
        <v>3849.8475114850912</v>
      </c>
      <c r="J70" s="12">
        <v>3849.8475114850912</v>
      </c>
      <c r="K70" s="12">
        <v>3707.071785513117</v>
      </c>
      <c r="L70" s="12">
        <v>3707.071785513117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609">
        <v>0</v>
      </c>
      <c r="T70" t="s">
        <v>5</v>
      </c>
      <c r="U70" t="s">
        <v>24</v>
      </c>
      <c r="V70" s="336"/>
      <c r="W70" s="12"/>
      <c r="X70" s="12"/>
      <c r="Y70" s="291"/>
    </row>
    <row r="71" spans="1:25">
      <c r="A71" t="s">
        <v>23</v>
      </c>
      <c r="B71" s="12" t="s">
        <v>544</v>
      </c>
      <c r="C71" s="12">
        <v>5757.9420113573733</v>
      </c>
      <c r="D71" s="12">
        <v>6761.2327247173725</v>
      </c>
      <c r="E71" s="12">
        <v>6761.2327247173725</v>
      </c>
      <c r="F71" s="12">
        <v>6761.2327247173725</v>
      </c>
      <c r="G71" s="12">
        <v>4091.7015173161735</v>
      </c>
      <c r="H71" s="12">
        <v>4084.8366440600876</v>
      </c>
      <c r="I71" s="12">
        <v>4084.8366440600876</v>
      </c>
      <c r="J71" s="12">
        <v>5617.0971562606846</v>
      </c>
      <c r="K71" s="12">
        <v>7836.1328672590944</v>
      </c>
      <c r="L71" s="12">
        <v>7836.1328672590944</v>
      </c>
      <c r="M71" s="12">
        <v>11416.542000504454</v>
      </c>
      <c r="N71" s="12">
        <v>3285.8960466428071</v>
      </c>
      <c r="O71" s="12">
        <v>3285.8960466428071</v>
      </c>
      <c r="P71" s="12">
        <v>3642.5185187084066</v>
      </c>
      <c r="Q71" s="12">
        <v>8080.4813254924293</v>
      </c>
      <c r="R71" s="12">
        <v>8080.4813254924293</v>
      </c>
      <c r="S71" s="609">
        <v>7716.0574128604312</v>
      </c>
      <c r="T71" t="s">
        <v>5</v>
      </c>
      <c r="U71" t="s">
        <v>24</v>
      </c>
      <c r="V71" s="336"/>
      <c r="W71" s="12"/>
      <c r="X71" s="12"/>
      <c r="Y71" s="291"/>
    </row>
    <row r="72" spans="1:25">
      <c r="A72" s="451" t="s">
        <v>468</v>
      </c>
      <c r="B72" s="12" t="s">
        <v>561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9151.8938528029503</v>
      </c>
      <c r="K72" s="12">
        <v>9150.7938542165066</v>
      </c>
      <c r="L72" s="12">
        <v>9150.7938542165066</v>
      </c>
      <c r="M72" s="12">
        <v>0</v>
      </c>
      <c r="N72" s="12">
        <v>0</v>
      </c>
      <c r="O72" s="12">
        <v>0</v>
      </c>
      <c r="P72" s="12">
        <v>0</v>
      </c>
      <c r="Q72" s="12">
        <v>1911.1177514729998</v>
      </c>
      <c r="R72" s="12">
        <v>1911.1177514729998</v>
      </c>
      <c r="S72" s="609">
        <v>1911.1177514729998</v>
      </c>
      <c r="T72" t="s">
        <v>5</v>
      </c>
      <c r="U72" t="s">
        <v>24</v>
      </c>
      <c r="V72" s="336"/>
      <c r="W72" s="12"/>
      <c r="X72" s="12"/>
      <c r="Y72" s="291"/>
    </row>
    <row r="73" spans="1:25">
      <c r="A73" t="s">
        <v>354</v>
      </c>
      <c r="B73" s="12" t="s">
        <v>562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19553.413197438818</v>
      </c>
      <c r="N73" s="12">
        <v>6630.1442245618264</v>
      </c>
      <c r="O73" s="12">
        <v>6947.6822545118957</v>
      </c>
      <c r="P73" s="12">
        <v>6947.6822545118957</v>
      </c>
      <c r="Q73" s="12">
        <v>6753.3473998666186</v>
      </c>
      <c r="R73" s="12">
        <v>6753.3473998666186</v>
      </c>
      <c r="S73" s="609">
        <v>6753.3473998666186</v>
      </c>
      <c r="T73" t="s">
        <v>5</v>
      </c>
      <c r="U73" t="s">
        <v>24</v>
      </c>
      <c r="V73" s="336"/>
      <c r="W73" s="12"/>
      <c r="X73" s="12"/>
      <c r="Y73" s="291"/>
    </row>
    <row r="74" spans="1:25">
      <c r="A74" s="451" t="s">
        <v>237</v>
      </c>
      <c r="B74" s="12" t="s">
        <v>479</v>
      </c>
      <c r="C74" s="12">
        <v>0</v>
      </c>
      <c r="D74" s="12">
        <v>0</v>
      </c>
      <c r="E74" s="12">
        <v>0</v>
      </c>
      <c r="F74" s="12">
        <v>0</v>
      </c>
      <c r="G74" s="12">
        <v>-333.56654586959996</v>
      </c>
      <c r="H74" s="12">
        <v>-333.56654586959996</v>
      </c>
      <c r="I74" s="12">
        <v>-333.56654586959996</v>
      </c>
      <c r="J74" s="12">
        <v>-333.56654586959996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609">
        <v>0</v>
      </c>
      <c r="T74" t="s">
        <v>5</v>
      </c>
      <c r="U74" t="s">
        <v>26</v>
      </c>
      <c r="V74" s="336"/>
      <c r="W74" s="12"/>
      <c r="X74" s="12"/>
      <c r="Y74" s="291"/>
    </row>
    <row r="75" spans="1:25">
      <c r="A75" s="451" t="s">
        <v>238</v>
      </c>
      <c r="B75" s="12" t="s">
        <v>548</v>
      </c>
      <c r="C75" s="12">
        <v>0</v>
      </c>
      <c r="D75" s="12">
        <v>0</v>
      </c>
      <c r="E75" s="12">
        <v>0</v>
      </c>
      <c r="F75" s="12">
        <v>0</v>
      </c>
      <c r="G75" s="12">
        <v>62042.099340000001</v>
      </c>
      <c r="H75" s="12">
        <v>62042.099340000001</v>
      </c>
      <c r="I75" s="12">
        <v>62042.099340000001</v>
      </c>
      <c r="J75" s="12">
        <v>62042.099340000001</v>
      </c>
      <c r="K75" s="12">
        <v>97834.232665999996</v>
      </c>
      <c r="L75" s="12">
        <v>97834.232665999996</v>
      </c>
      <c r="M75" s="12">
        <v>96619.676042399995</v>
      </c>
      <c r="N75" s="12">
        <v>85598.38471649999</v>
      </c>
      <c r="O75" s="12">
        <v>85598.38471649999</v>
      </c>
      <c r="P75" s="12">
        <v>85598.38471649999</v>
      </c>
      <c r="Q75" s="12">
        <v>-7088.5662644999993</v>
      </c>
      <c r="R75" s="12">
        <v>-7088.5662644999993</v>
      </c>
      <c r="S75" s="609">
        <v>-7088.5662644999993</v>
      </c>
      <c r="T75" t="s">
        <v>5</v>
      </c>
      <c r="U75" t="s">
        <v>26</v>
      </c>
      <c r="V75" s="336"/>
      <c r="W75" s="12"/>
      <c r="X75" s="12"/>
      <c r="Y75" s="291"/>
    </row>
    <row r="76" spans="1:25">
      <c r="A76" t="s">
        <v>28</v>
      </c>
      <c r="B76" s="12" t="s">
        <v>548</v>
      </c>
      <c r="C76" s="12">
        <v>14304.957620399999</v>
      </c>
      <c r="D76" s="12">
        <v>14304.957620399999</v>
      </c>
      <c r="E76" s="12">
        <v>14304.957620399999</v>
      </c>
      <c r="F76" s="12">
        <v>14304.957620399999</v>
      </c>
      <c r="G76" s="12">
        <v>14618.280596999999</v>
      </c>
      <c r="H76" s="12">
        <v>14618.280596999999</v>
      </c>
      <c r="I76" s="12">
        <v>14618.280596999999</v>
      </c>
      <c r="J76" s="12">
        <v>14618.280596999999</v>
      </c>
      <c r="K76" s="12">
        <v>12263.7715892</v>
      </c>
      <c r="L76" s="12">
        <v>12263.7715892</v>
      </c>
      <c r="M76" s="12">
        <v>11368.8515814</v>
      </c>
      <c r="N76" s="12">
        <v>10448.595024299999</v>
      </c>
      <c r="O76" s="12">
        <v>10448.595024299999</v>
      </c>
      <c r="P76" s="12">
        <v>10448.595024299999</v>
      </c>
      <c r="Q76" s="12">
        <v>7863.1481354999987</v>
      </c>
      <c r="R76" s="12">
        <v>7863.1481354999987</v>
      </c>
      <c r="S76" s="609">
        <v>7863.1481354999987</v>
      </c>
      <c r="T76" t="s">
        <v>5</v>
      </c>
      <c r="U76" t="s">
        <v>26</v>
      </c>
      <c r="V76" s="336"/>
      <c r="W76" s="12"/>
      <c r="X76" s="12"/>
      <c r="Y76" s="291"/>
    </row>
    <row r="77" spans="1:25">
      <c r="A77" t="s">
        <v>29</v>
      </c>
      <c r="B77" s="12" t="s">
        <v>548</v>
      </c>
      <c r="C77" s="12">
        <v>-6227.0347865999993</v>
      </c>
      <c r="D77" s="12">
        <v>-6227.0347865999993</v>
      </c>
      <c r="E77" s="12">
        <v>-6227.0347865999993</v>
      </c>
      <c r="F77" s="12">
        <v>-6227.0347865999993</v>
      </c>
      <c r="G77" s="12">
        <v>2817.8318027999999</v>
      </c>
      <c r="H77" s="12">
        <v>2817.8318027999999</v>
      </c>
      <c r="I77" s="12">
        <v>2817.8318027999999</v>
      </c>
      <c r="J77" s="12">
        <v>2817.8318027999999</v>
      </c>
      <c r="K77" s="12">
        <v>-12060.447343600001</v>
      </c>
      <c r="L77" s="12">
        <v>-12060.447343600001</v>
      </c>
      <c r="M77" s="12">
        <v>-63.2870913</v>
      </c>
      <c r="N77" s="12">
        <v>1908.7884732863999</v>
      </c>
      <c r="O77" s="12">
        <v>1908.7884732863999</v>
      </c>
      <c r="P77" s="12">
        <v>1908.7884732863999</v>
      </c>
      <c r="Q77" s="12">
        <v>681.13365599999997</v>
      </c>
      <c r="R77" s="12">
        <v>681.13365599999997</v>
      </c>
      <c r="S77" s="609">
        <v>681.13365599999997</v>
      </c>
      <c r="T77" t="s">
        <v>5</v>
      </c>
      <c r="U77" t="s">
        <v>26</v>
      </c>
      <c r="V77" s="336"/>
      <c r="W77" s="12"/>
      <c r="X77" s="12"/>
      <c r="Y77" s="291"/>
    </row>
    <row r="78" spans="1:25">
      <c r="A78" t="s">
        <v>32</v>
      </c>
      <c r="B78" s="12" t="s">
        <v>479</v>
      </c>
      <c r="C78" s="12">
        <v>111.01178309999999</v>
      </c>
      <c r="D78" s="12">
        <v>111.01178309999999</v>
      </c>
      <c r="E78" s="12">
        <v>111.01178309999999</v>
      </c>
      <c r="F78" s="12">
        <v>111.01178309999999</v>
      </c>
      <c r="G78" s="12">
        <v>108.9367965</v>
      </c>
      <c r="H78" s="12">
        <v>108.9367965</v>
      </c>
      <c r="I78" s="12">
        <v>108.9367965</v>
      </c>
      <c r="J78" s="12">
        <v>108.9367965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609">
        <v>0</v>
      </c>
      <c r="T78" t="s">
        <v>5</v>
      </c>
      <c r="U78" t="s">
        <v>26</v>
      </c>
      <c r="V78" s="336"/>
      <c r="W78" s="12"/>
      <c r="X78" s="12"/>
      <c r="Y78" s="291"/>
    </row>
    <row r="79" spans="1:25">
      <c r="A79" t="s">
        <v>33</v>
      </c>
      <c r="B79" s="12" t="s">
        <v>548</v>
      </c>
      <c r="C79" s="12">
        <v>3717.3384938999998</v>
      </c>
      <c r="D79" s="12">
        <v>3717.3384938999998</v>
      </c>
      <c r="E79" s="12">
        <v>3717.3384938999998</v>
      </c>
      <c r="F79" s="12">
        <v>3717.3384938999998</v>
      </c>
      <c r="G79" s="12">
        <v>3739.1258531999997</v>
      </c>
      <c r="H79" s="12">
        <v>3739.1258531999997</v>
      </c>
      <c r="I79" s="12">
        <v>3739.1258531999997</v>
      </c>
      <c r="J79" s="12">
        <v>3739.1258531999997</v>
      </c>
      <c r="K79" s="12">
        <v>3376.6347929999997</v>
      </c>
      <c r="L79" s="12">
        <v>3376.6347929999997</v>
      </c>
      <c r="M79" s="12">
        <v>1615.3770680999999</v>
      </c>
      <c r="N79" s="12">
        <v>-631.83341969999992</v>
      </c>
      <c r="O79" s="12">
        <v>-631.83341969999992</v>
      </c>
      <c r="P79" s="12">
        <v>-631.83341969999992</v>
      </c>
      <c r="Q79" s="12">
        <v>0</v>
      </c>
      <c r="R79" s="12">
        <v>0</v>
      </c>
      <c r="S79" s="609">
        <v>0</v>
      </c>
      <c r="T79" t="s">
        <v>5</v>
      </c>
      <c r="U79" t="s">
        <v>26</v>
      </c>
      <c r="V79" s="336"/>
      <c r="W79" s="12"/>
      <c r="X79" s="12"/>
      <c r="Y79" s="291"/>
    </row>
    <row r="80" spans="1:25">
      <c r="A80" t="s">
        <v>317</v>
      </c>
      <c r="B80" s="12" t="s">
        <v>479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420.13428299999998</v>
      </c>
      <c r="L80" s="12">
        <v>420.13428299999998</v>
      </c>
      <c r="M80" s="12">
        <v>3.1124798999999999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609">
        <v>0</v>
      </c>
      <c r="T80" t="s">
        <v>5</v>
      </c>
      <c r="U80" t="s">
        <v>26</v>
      </c>
      <c r="V80" s="336"/>
      <c r="W80" s="12"/>
      <c r="X80" s="12"/>
      <c r="Y80" s="291"/>
    </row>
    <row r="81" spans="1:25">
      <c r="A81" t="s">
        <v>318</v>
      </c>
      <c r="B81" s="12" t="s">
        <v>548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17012.84504</v>
      </c>
      <c r="L81" s="12">
        <v>17012.84504</v>
      </c>
      <c r="M81" s="12">
        <v>17014.89012</v>
      </c>
      <c r="N81" s="12">
        <v>60589.608719999997</v>
      </c>
      <c r="O81" s="12">
        <v>60589.608719999997</v>
      </c>
      <c r="P81" s="12">
        <v>60589.608719999997</v>
      </c>
      <c r="Q81" s="12">
        <v>-37379.285999999993</v>
      </c>
      <c r="R81" s="12">
        <v>-37379.285999999993</v>
      </c>
      <c r="S81" s="609">
        <v>-37379.285999999993</v>
      </c>
      <c r="T81" t="s">
        <v>5</v>
      </c>
      <c r="U81" t="s">
        <v>26</v>
      </c>
      <c r="V81" s="336"/>
      <c r="W81" s="12"/>
      <c r="X81" s="12"/>
      <c r="Y81" s="291"/>
    </row>
    <row r="82" spans="1:25">
      <c r="A82" s="13" t="s">
        <v>35</v>
      </c>
      <c r="B82" s="12" t="s">
        <v>548</v>
      </c>
      <c r="C82" s="12">
        <v>8196.1970700000002</v>
      </c>
      <c r="D82" s="12">
        <v>8196.1970700000002</v>
      </c>
      <c r="E82" s="12">
        <v>8196.1970700000002</v>
      </c>
      <c r="F82" s="12">
        <v>8196.1970700000002</v>
      </c>
      <c r="G82" s="12">
        <v>7148.328837</v>
      </c>
      <c r="H82" s="12">
        <v>7148.328837</v>
      </c>
      <c r="I82" s="12">
        <v>7148.328837</v>
      </c>
      <c r="J82" s="12">
        <v>7148.328837</v>
      </c>
      <c r="K82" s="12">
        <v>12956.733813999999</v>
      </c>
      <c r="L82" s="12">
        <v>12956.733813999999</v>
      </c>
      <c r="M82" s="12">
        <v>18197.632482000001</v>
      </c>
      <c r="N82" s="12">
        <v>17949.671583299998</v>
      </c>
      <c r="O82" s="12">
        <v>17949.671583299998</v>
      </c>
      <c r="P82" s="12">
        <v>17949.671583299998</v>
      </c>
      <c r="Q82" s="12">
        <v>22809.670967999999</v>
      </c>
      <c r="R82" s="12">
        <v>22809.670967999999</v>
      </c>
      <c r="S82" s="609">
        <v>22809.670967999999</v>
      </c>
      <c r="T82" t="s">
        <v>5</v>
      </c>
      <c r="U82" t="s">
        <v>26</v>
      </c>
      <c r="V82" s="336"/>
      <c r="W82" s="12"/>
      <c r="X82" s="12"/>
      <c r="Y82" s="291"/>
    </row>
    <row r="83" spans="1:25">
      <c r="A83" s="13" t="s">
        <v>36</v>
      </c>
      <c r="B83" s="12" t="s">
        <v>548</v>
      </c>
      <c r="C83" s="12">
        <v>2384.1596033999999</v>
      </c>
      <c r="D83" s="12">
        <v>2384.1596033999999</v>
      </c>
      <c r="E83" s="12">
        <v>2384.1596033999999</v>
      </c>
      <c r="F83" s="12">
        <v>2384.1596033999999</v>
      </c>
      <c r="G83" s="12">
        <v>2386.23459</v>
      </c>
      <c r="H83" s="12">
        <v>2386.23459</v>
      </c>
      <c r="I83" s="12">
        <v>2386.23459</v>
      </c>
      <c r="J83" s="12">
        <v>2386.23459</v>
      </c>
      <c r="K83" s="12">
        <v>2480.3483225999998</v>
      </c>
      <c r="L83" s="12">
        <v>2480.3483225999998</v>
      </c>
      <c r="M83" s="12">
        <v>756.33261570000002</v>
      </c>
      <c r="N83" s="12">
        <v>599.67112739999993</v>
      </c>
      <c r="O83" s="12">
        <v>599.67112739999993</v>
      </c>
      <c r="P83" s="12">
        <v>599.67112739999993</v>
      </c>
      <c r="Q83" s="12">
        <v>1971.7573364999998</v>
      </c>
      <c r="R83" s="12">
        <v>1971.7573364999998</v>
      </c>
      <c r="S83" s="609">
        <v>1971.7573364999998</v>
      </c>
      <c r="T83" t="s">
        <v>5</v>
      </c>
      <c r="U83" t="s">
        <v>26</v>
      </c>
      <c r="V83" s="336"/>
      <c r="W83" s="12"/>
      <c r="X83" s="12"/>
      <c r="Y83" s="291"/>
    </row>
    <row r="84" spans="1:25">
      <c r="A84" s="13" t="s">
        <v>37</v>
      </c>
      <c r="B84" s="12" t="s">
        <v>479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609">
        <v>0</v>
      </c>
      <c r="T84" t="s">
        <v>5</v>
      </c>
      <c r="U84" t="s">
        <v>26</v>
      </c>
      <c r="V84" s="336"/>
      <c r="W84" s="12"/>
      <c r="X84" s="12"/>
      <c r="Y84" s="291"/>
    </row>
    <row r="85" spans="1:25">
      <c r="A85" s="457" t="s">
        <v>247</v>
      </c>
      <c r="B85" s="12" t="s">
        <v>548</v>
      </c>
      <c r="C85" s="12">
        <v>0</v>
      </c>
      <c r="D85" s="12">
        <v>0</v>
      </c>
      <c r="E85" s="12">
        <v>0</v>
      </c>
      <c r="F85" s="12">
        <v>0</v>
      </c>
      <c r="G85" s="12">
        <v>-274.93572449999999</v>
      </c>
      <c r="H85" s="12">
        <v>-274.93572449999999</v>
      </c>
      <c r="I85" s="12">
        <v>-274.93572449999999</v>
      </c>
      <c r="J85" s="12">
        <v>-274.93572449999999</v>
      </c>
      <c r="K85" s="12">
        <v>597.52431360000003</v>
      </c>
      <c r="L85" s="12">
        <v>597.52431360000003</v>
      </c>
      <c r="M85" s="12">
        <v>-18.674879399999998</v>
      </c>
      <c r="N85" s="12">
        <v>179.48634089999999</v>
      </c>
      <c r="O85" s="12">
        <v>179.48634089999999</v>
      </c>
      <c r="P85" s="12">
        <v>179.48634089999999</v>
      </c>
      <c r="Q85" s="12">
        <v>-354.06490349999996</v>
      </c>
      <c r="R85" s="12">
        <v>-354.06490349999996</v>
      </c>
      <c r="S85" s="609">
        <v>-354.06490349999996</v>
      </c>
      <c r="T85" t="s">
        <v>5</v>
      </c>
      <c r="U85" t="s">
        <v>26</v>
      </c>
      <c r="V85" s="336"/>
      <c r="W85" s="12"/>
      <c r="X85" s="12"/>
      <c r="Y85" s="291"/>
    </row>
    <row r="86" spans="1:25">
      <c r="A86" s="457" t="s">
        <v>248</v>
      </c>
      <c r="B86" s="12" t="s">
        <v>548</v>
      </c>
      <c r="C86" s="12">
        <v>0</v>
      </c>
      <c r="D86" s="12">
        <v>0</v>
      </c>
      <c r="E86" s="12">
        <v>0</v>
      </c>
      <c r="F86" s="12">
        <v>0</v>
      </c>
      <c r="G86" s="12">
        <v>-283.2356709</v>
      </c>
      <c r="H86" s="12">
        <v>-283.2356709</v>
      </c>
      <c r="I86" s="12">
        <v>-283.2356709</v>
      </c>
      <c r="J86" s="12">
        <v>-283.2356709</v>
      </c>
      <c r="K86" s="12">
        <v>-1.675350289</v>
      </c>
      <c r="L86" s="12">
        <v>-1.675350289</v>
      </c>
      <c r="M86" s="12">
        <v>0</v>
      </c>
      <c r="N86" s="12">
        <v>-3.1124798999999999</v>
      </c>
      <c r="O86" s="12">
        <v>-3.1124798999999999</v>
      </c>
      <c r="P86" s="12">
        <v>-3.1124798999999999</v>
      </c>
      <c r="Q86" s="12">
        <v>-2649.7760519999997</v>
      </c>
      <c r="R86" s="12">
        <v>-2649.7760519999997</v>
      </c>
      <c r="S86" s="609">
        <v>-2649.7760519999997</v>
      </c>
      <c r="T86" t="s">
        <v>5</v>
      </c>
      <c r="U86" t="s">
        <v>26</v>
      </c>
      <c r="V86" s="336"/>
      <c r="W86" s="12"/>
      <c r="X86" s="12"/>
      <c r="Y86" s="291"/>
    </row>
    <row r="87" spans="1:25">
      <c r="A87" s="13" t="s">
        <v>38</v>
      </c>
      <c r="B87" s="12" t="s">
        <v>479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609">
        <v>0</v>
      </c>
      <c r="T87" t="s">
        <v>5</v>
      </c>
      <c r="U87" t="s">
        <v>26</v>
      </c>
      <c r="V87" s="336"/>
      <c r="W87" s="12"/>
      <c r="X87" s="12"/>
      <c r="Y87" s="291"/>
    </row>
    <row r="88" spans="1:25">
      <c r="A88" s="13" t="s">
        <v>209</v>
      </c>
      <c r="B88" s="12" t="s">
        <v>479</v>
      </c>
      <c r="C88" s="12">
        <v>-1769.9635698</v>
      </c>
      <c r="D88" s="12">
        <v>-1769.9635698</v>
      </c>
      <c r="E88" s="12">
        <v>-1769.9635698</v>
      </c>
      <c r="F88" s="12">
        <v>-1769.9635698</v>
      </c>
      <c r="G88" s="12">
        <v>0</v>
      </c>
      <c r="H88" s="12">
        <v>0</v>
      </c>
      <c r="I88" s="12">
        <v>0</v>
      </c>
      <c r="J88" s="12">
        <v>0</v>
      </c>
      <c r="K88" s="12">
        <v>147.47958175619999</v>
      </c>
      <c r="L88" s="12">
        <v>147.47958175619999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609">
        <v>0</v>
      </c>
      <c r="T88" t="s">
        <v>5</v>
      </c>
      <c r="U88" t="s">
        <v>26</v>
      </c>
      <c r="V88" s="336"/>
      <c r="W88" s="12"/>
      <c r="X88" s="12"/>
      <c r="Y88" s="291"/>
    </row>
    <row r="89" spans="1:25">
      <c r="A89" s="13" t="s">
        <v>309</v>
      </c>
      <c r="B89" s="12" t="s">
        <v>548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2258.3514421999998</v>
      </c>
      <c r="L89" s="12">
        <v>2258.3514421999998</v>
      </c>
      <c r="M89" s="12">
        <v>5482.1145971999995</v>
      </c>
      <c r="N89" s="12">
        <v>70662.631169699991</v>
      </c>
      <c r="O89" s="12">
        <v>70662.631169699991</v>
      </c>
      <c r="P89" s="12">
        <v>70662.631169699991</v>
      </c>
      <c r="Q89" s="12">
        <v>753.8156009999999</v>
      </c>
      <c r="R89" s="12">
        <v>753.8156009999999</v>
      </c>
      <c r="S89" s="609">
        <v>753.8156009999999</v>
      </c>
      <c r="T89" t="s">
        <v>5</v>
      </c>
      <c r="U89" t="s">
        <v>26</v>
      </c>
      <c r="V89" s="336"/>
      <c r="W89" s="12"/>
      <c r="X89" s="12"/>
      <c r="Y89" s="291"/>
    </row>
    <row r="90" spans="1:25">
      <c r="A90" s="13" t="s">
        <v>323</v>
      </c>
      <c r="B90" s="12" t="s">
        <v>548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1324.7225299000002</v>
      </c>
      <c r="L90" s="12">
        <v>1324.7225299000002</v>
      </c>
      <c r="M90" s="12">
        <v>3295.5037456</v>
      </c>
      <c r="N90" s="12">
        <v>11326.775926599999</v>
      </c>
      <c r="O90" s="12">
        <v>11326.775926599999</v>
      </c>
      <c r="P90" s="12">
        <v>11326.775926599999</v>
      </c>
      <c r="Q90" s="12">
        <v>120.517607</v>
      </c>
      <c r="R90" s="12">
        <v>120.517607</v>
      </c>
      <c r="S90" s="609">
        <v>120.517607</v>
      </c>
      <c r="T90" t="s">
        <v>3</v>
      </c>
      <c r="U90" t="s">
        <v>26</v>
      </c>
      <c r="V90" s="336"/>
      <c r="W90" s="12"/>
      <c r="X90" s="12"/>
      <c r="Y90" s="291"/>
    </row>
    <row r="91" spans="1:25">
      <c r="A91" t="s">
        <v>316</v>
      </c>
      <c r="B91" s="12" t="s">
        <v>548</v>
      </c>
      <c r="C91" s="12">
        <v>959.50170479999997</v>
      </c>
      <c r="D91" s="12">
        <v>959.50170479999997</v>
      </c>
      <c r="E91" s="12">
        <v>959.50170479999997</v>
      </c>
      <c r="F91" s="12">
        <v>959.50170479999997</v>
      </c>
      <c r="G91" s="12">
        <v>824.88806899999997</v>
      </c>
      <c r="H91" s="12">
        <v>824.88806899999997</v>
      </c>
      <c r="I91" s="12">
        <v>824.88806899999997</v>
      </c>
      <c r="J91" s="12">
        <v>824.88806899999997</v>
      </c>
      <c r="K91" s="12">
        <v>955.3384784000001</v>
      </c>
      <c r="L91" s="12">
        <v>955.3384784000001</v>
      </c>
      <c r="M91" s="12">
        <v>-173.07467459999998</v>
      </c>
      <c r="N91" s="12">
        <v>282.38499539999998</v>
      </c>
      <c r="O91" s="12">
        <v>282.38499539999998</v>
      </c>
      <c r="P91" s="12">
        <v>282.38499539999998</v>
      </c>
      <c r="Q91" s="12">
        <v>-166.09149200000002</v>
      </c>
      <c r="R91" s="12">
        <v>-166.09149200000002</v>
      </c>
      <c r="S91" s="609">
        <v>-166.09149200000002</v>
      </c>
      <c r="T91" t="s">
        <v>3</v>
      </c>
      <c r="U91" t="s">
        <v>26</v>
      </c>
      <c r="V91" s="336"/>
      <c r="W91" s="12"/>
      <c r="X91" s="12"/>
      <c r="Y91" s="291"/>
    </row>
    <row r="92" spans="1:25">
      <c r="A92" t="s">
        <v>22</v>
      </c>
      <c r="B92" s="12" t="s">
        <v>563</v>
      </c>
      <c r="C92" s="12">
        <v>10384.438789999989</v>
      </c>
      <c r="D92" s="12">
        <v>10384.438789999989</v>
      </c>
      <c r="E92" s="12">
        <v>10384.438789999989</v>
      </c>
      <c r="F92" s="12">
        <v>10384.438789999989</v>
      </c>
      <c r="G92" s="12">
        <v>14512.247960000124</v>
      </c>
      <c r="H92" s="12">
        <v>14512.247960000124</v>
      </c>
      <c r="I92" s="12">
        <v>14512.247960000124</v>
      </c>
      <c r="J92" s="12">
        <v>14512.247960000124</v>
      </c>
      <c r="K92" s="12">
        <v>13108.984509999978</v>
      </c>
      <c r="L92" s="12">
        <v>13108.984509999978</v>
      </c>
      <c r="M92" s="12">
        <v>17468.285040000002</v>
      </c>
      <c r="N92" s="12">
        <v>21772.850630000012</v>
      </c>
      <c r="O92" s="12">
        <v>21772.850630000012</v>
      </c>
      <c r="P92" s="12">
        <v>21772.850630000012</v>
      </c>
      <c r="Q92" s="12">
        <v>23803.573559999997</v>
      </c>
      <c r="R92" s="12">
        <v>23803.573559999997</v>
      </c>
      <c r="S92" s="609">
        <v>23803.573559999997</v>
      </c>
      <c r="T92" t="s">
        <v>5</v>
      </c>
      <c r="U92" t="s">
        <v>24</v>
      </c>
      <c r="V92" s="336"/>
      <c r="W92" s="12"/>
      <c r="X92" s="12"/>
      <c r="Y92" s="291"/>
    </row>
    <row r="93" spans="1:25">
      <c r="A93" s="13" t="s">
        <v>43</v>
      </c>
      <c r="B93" s="12" t="s">
        <v>564</v>
      </c>
      <c r="C93" s="12">
        <v>-1006.6484500001117</v>
      </c>
      <c r="D93" s="12">
        <v>-1006.6484500001117</v>
      </c>
      <c r="E93" s="12">
        <v>-1006.6484500001117</v>
      </c>
      <c r="F93" s="12">
        <v>-1006.6484500001117</v>
      </c>
      <c r="G93" s="12">
        <v>-2412.1108600000562</v>
      </c>
      <c r="H93" s="12">
        <v>-2412.1108600000562</v>
      </c>
      <c r="I93" s="12">
        <v>-2412.1108600000562</v>
      </c>
      <c r="J93" s="12">
        <v>-2412.1108600000562</v>
      </c>
      <c r="K93" s="12">
        <v>-2771.0864299999776</v>
      </c>
      <c r="L93" s="12">
        <v>-2771.0864299999776</v>
      </c>
      <c r="M93" s="12">
        <v>-1178.0985599999967</v>
      </c>
      <c r="N93" s="12">
        <v>-1423.5695200000023</v>
      </c>
      <c r="O93" s="12">
        <v>-1423.5695200000023</v>
      </c>
      <c r="P93" s="12">
        <v>-1423.5695200000023</v>
      </c>
      <c r="Q93" s="12">
        <v>-1046.2193100000015</v>
      </c>
      <c r="R93" s="12">
        <v>-1046.2193100000015</v>
      </c>
      <c r="S93" s="609">
        <v>-1046.2193100000015</v>
      </c>
      <c r="T93" t="s">
        <v>3</v>
      </c>
      <c r="U93" t="s">
        <v>24</v>
      </c>
      <c r="V93" s="336"/>
      <c r="W93" s="12"/>
      <c r="X93" s="12"/>
      <c r="Y93" s="291"/>
    </row>
    <row r="94" spans="1:25">
      <c r="A94" s="13" t="s">
        <v>44</v>
      </c>
      <c r="B94" s="12" t="s">
        <v>564</v>
      </c>
      <c r="C94" s="12">
        <v>23000.546209997989</v>
      </c>
      <c r="D94" s="12">
        <v>23000.546209997989</v>
      </c>
      <c r="E94" s="12">
        <v>23000.546209997989</v>
      </c>
      <c r="F94" s="12">
        <v>23000.546209997989</v>
      </c>
      <c r="G94" s="12">
        <v>6461.6487400032402</v>
      </c>
      <c r="H94" s="12">
        <v>6461.6487400032402</v>
      </c>
      <c r="I94" s="12">
        <v>6461.6487400032402</v>
      </c>
      <c r="J94" s="12">
        <v>6461.6487400032402</v>
      </c>
      <c r="K94" s="12">
        <v>-9516.3053999996482</v>
      </c>
      <c r="L94" s="12">
        <v>-9516.3053999996482</v>
      </c>
      <c r="M94" s="12">
        <v>8785.1610399999317</v>
      </c>
      <c r="N94" s="12">
        <v>7929.8560599999728</v>
      </c>
      <c r="O94" s="12">
        <v>7929.8560599999728</v>
      </c>
      <c r="P94" s="12">
        <v>7929.8560599999728</v>
      </c>
      <c r="Q94" s="12">
        <v>2801.1993099999727</v>
      </c>
      <c r="R94" s="12">
        <v>2801.1993099999727</v>
      </c>
      <c r="S94" s="609">
        <v>2801.1993099999727</v>
      </c>
      <c r="T94" t="s">
        <v>3</v>
      </c>
      <c r="U94" t="s">
        <v>24</v>
      </c>
      <c r="V94" s="336"/>
      <c r="W94" s="12"/>
      <c r="X94" s="12"/>
      <c r="Y94" s="291"/>
    </row>
    <row r="95" spans="1:25">
      <c r="A95" s="13" t="s">
        <v>45</v>
      </c>
      <c r="B95" s="12" t="s">
        <v>565</v>
      </c>
      <c r="C95" s="12">
        <v>191.3576699999968</v>
      </c>
      <c r="D95" s="12">
        <v>191.3576699999968</v>
      </c>
      <c r="E95" s="12">
        <v>191.3576699999968</v>
      </c>
      <c r="F95" s="12">
        <v>191.3576699999968</v>
      </c>
      <c r="G95" s="12">
        <v>52.435750000001498</v>
      </c>
      <c r="H95" s="12">
        <v>52.435750000001498</v>
      </c>
      <c r="I95" s="12">
        <v>52.435750000001498</v>
      </c>
      <c r="J95" s="12">
        <v>52.435750000001498</v>
      </c>
      <c r="K95" s="12">
        <v>924.59608999999921</v>
      </c>
      <c r="L95" s="12">
        <v>924.59608999999921</v>
      </c>
      <c r="M95" s="12">
        <v>455.58558000001125</v>
      </c>
      <c r="N95" s="12">
        <v>329.55970000000065</v>
      </c>
      <c r="O95" s="12">
        <v>329.55970000000065</v>
      </c>
      <c r="P95" s="12">
        <v>329.55970000000065</v>
      </c>
      <c r="Q95" s="12">
        <v>184.03196999999997</v>
      </c>
      <c r="R95" s="12">
        <v>184.03196999999997</v>
      </c>
      <c r="S95" s="609">
        <v>184.03196999999997</v>
      </c>
      <c r="T95" t="s">
        <v>3</v>
      </c>
      <c r="U95" t="s">
        <v>24</v>
      </c>
      <c r="V95" s="336"/>
      <c r="W95" s="12"/>
      <c r="X95" s="12"/>
      <c r="Y95" s="291"/>
    </row>
    <row r="96" spans="1:25">
      <c r="A96" s="13" t="s">
        <v>46</v>
      </c>
      <c r="B96" s="12" t="s">
        <v>563</v>
      </c>
      <c r="C96" s="12">
        <v>-106.41925999997184</v>
      </c>
      <c r="D96" s="12">
        <v>-106.41925999997184</v>
      </c>
      <c r="E96" s="12">
        <v>-106.41925999997184</v>
      </c>
      <c r="F96" s="12">
        <v>-106.41925999997184</v>
      </c>
      <c r="G96" s="12">
        <v>317.79030000004639</v>
      </c>
      <c r="H96" s="12">
        <v>317.79030000004639</v>
      </c>
      <c r="I96" s="12">
        <v>317.79030000004639</v>
      </c>
      <c r="J96" s="12">
        <v>317.79030000004639</v>
      </c>
      <c r="K96" s="12">
        <v>-290.2039800000079</v>
      </c>
      <c r="L96" s="12">
        <v>-290.2039800000079</v>
      </c>
      <c r="M96" s="12">
        <v>103.88005999999493</v>
      </c>
      <c r="N96" s="12">
        <v>1346.6115899999961</v>
      </c>
      <c r="O96" s="12">
        <v>1346.6115899999961</v>
      </c>
      <c r="P96" s="12">
        <v>1346.6115899999961</v>
      </c>
      <c r="Q96" s="12">
        <v>1756.5771699999907</v>
      </c>
      <c r="R96" s="12">
        <v>1756.5771699999907</v>
      </c>
      <c r="S96" s="609">
        <v>1756.5771699999907</v>
      </c>
      <c r="T96" t="s">
        <v>3</v>
      </c>
      <c r="U96" t="s">
        <v>24</v>
      </c>
      <c r="V96" s="336"/>
      <c r="W96" s="12"/>
      <c r="X96" s="12"/>
      <c r="Y96" s="291"/>
    </row>
    <row r="97" spans="1:25">
      <c r="A97" s="14" t="s">
        <v>47</v>
      </c>
      <c r="B97" s="12" t="s">
        <v>566</v>
      </c>
      <c r="C97" s="12">
        <v>-218.36895000001789</v>
      </c>
      <c r="D97" s="12">
        <v>-218.36895000001789</v>
      </c>
      <c r="E97" s="12">
        <v>-218.36895000001789</v>
      </c>
      <c r="F97" s="12">
        <v>-218.36895000001789</v>
      </c>
      <c r="G97" s="12">
        <v>615.40979000003267</v>
      </c>
      <c r="H97" s="12">
        <v>615.40979000003267</v>
      </c>
      <c r="I97" s="12">
        <v>615.40979000003267</v>
      </c>
      <c r="J97" s="12">
        <v>615.40979000003267</v>
      </c>
      <c r="K97" s="12">
        <v>418.28167999988051</v>
      </c>
      <c r="L97" s="12">
        <v>418.28167999988051</v>
      </c>
      <c r="M97" s="12">
        <v>1447.6496099999938</v>
      </c>
      <c r="N97" s="12">
        <v>477.35870999999997</v>
      </c>
      <c r="O97" s="12">
        <v>477.35870999999997</v>
      </c>
      <c r="P97" s="12">
        <v>477.35870999999997</v>
      </c>
      <c r="Q97" s="12">
        <v>293.14443999999946</v>
      </c>
      <c r="R97" s="12">
        <v>293.14443999999946</v>
      </c>
      <c r="S97" s="609">
        <v>293.14443999999946</v>
      </c>
      <c r="T97" t="s">
        <v>3</v>
      </c>
      <c r="U97" t="s">
        <v>24</v>
      </c>
      <c r="V97" s="336"/>
      <c r="W97" s="12"/>
      <c r="X97" s="12"/>
      <c r="Y97" s="291"/>
    </row>
    <row r="98" spans="1:25">
      <c r="A98" s="14" t="s">
        <v>48</v>
      </c>
      <c r="B98" s="12" t="s">
        <v>566</v>
      </c>
      <c r="C98" s="12">
        <v>14155.425600007415</v>
      </c>
      <c r="D98" s="12">
        <v>14155.425600007415</v>
      </c>
      <c r="E98" s="12">
        <v>14155.425600007415</v>
      </c>
      <c r="F98" s="12">
        <v>14155.425600007415</v>
      </c>
      <c r="G98" s="12">
        <v>7976.6311100022194</v>
      </c>
      <c r="H98" s="12">
        <v>7976.6311100022194</v>
      </c>
      <c r="I98" s="12">
        <v>7976.6311100022194</v>
      </c>
      <c r="J98" s="12">
        <v>7976.6311100022194</v>
      </c>
      <c r="K98" s="12">
        <v>3865.5688600117564</v>
      </c>
      <c r="L98" s="12">
        <v>3865.5688600117564</v>
      </c>
      <c r="M98" s="12">
        <v>5532.6434999999701</v>
      </c>
      <c r="N98" s="12">
        <v>1773.2363299999981</v>
      </c>
      <c r="O98" s="12">
        <v>1773.2363299999981</v>
      </c>
      <c r="P98" s="12">
        <v>1773.2363299999981</v>
      </c>
      <c r="Q98" s="12">
        <v>1877.2533700000047</v>
      </c>
      <c r="R98" s="12">
        <v>1877.2533700000047</v>
      </c>
      <c r="S98" s="609">
        <v>1877.2533700000047</v>
      </c>
      <c r="T98" t="s">
        <v>3</v>
      </c>
      <c r="U98" t="s">
        <v>24</v>
      </c>
      <c r="V98" s="336"/>
      <c r="W98" s="12"/>
      <c r="X98" s="12"/>
      <c r="Y98" s="291"/>
    </row>
    <row r="99" spans="1:25">
      <c r="A99" s="14" t="s">
        <v>49</v>
      </c>
      <c r="B99" s="12" t="s">
        <v>566</v>
      </c>
      <c r="C99" s="12">
        <v>14.466140000000014</v>
      </c>
      <c r="D99" s="12">
        <v>14.466140000000014</v>
      </c>
      <c r="E99" s="12">
        <v>14.466140000000014</v>
      </c>
      <c r="F99" s="12">
        <v>14.466140000000014</v>
      </c>
      <c r="G99" s="12">
        <v>5.1695499999999885</v>
      </c>
      <c r="H99" s="12">
        <v>5.1695499999999885</v>
      </c>
      <c r="I99" s="12">
        <v>5.1695499999999885</v>
      </c>
      <c r="J99" s="12">
        <v>5.1695499999999885</v>
      </c>
      <c r="K99" s="12">
        <v>5.3989899999999329</v>
      </c>
      <c r="L99" s="12">
        <v>5.3989899999999329</v>
      </c>
      <c r="M99" s="12">
        <v>22.662190000000002</v>
      </c>
      <c r="N99" s="12">
        <v>9.902400000000009</v>
      </c>
      <c r="O99" s="12">
        <v>9.902400000000009</v>
      </c>
      <c r="P99" s="12">
        <v>9.902400000000009</v>
      </c>
      <c r="Q99" s="12">
        <v>6.0792299999999964</v>
      </c>
      <c r="R99" s="12">
        <v>6.0792299999999964</v>
      </c>
      <c r="S99" s="609">
        <v>6.0792299999999964</v>
      </c>
      <c r="T99" t="s">
        <v>3</v>
      </c>
      <c r="U99" t="s">
        <v>24</v>
      </c>
      <c r="V99" s="336"/>
      <c r="W99" s="12"/>
      <c r="X99" s="12"/>
      <c r="Y99" s="291"/>
    </row>
    <row r="100" spans="1:25">
      <c r="A100" s="14" t="s">
        <v>54</v>
      </c>
      <c r="B100" s="12" t="s">
        <v>479</v>
      </c>
      <c r="C100" s="12">
        <v>-2901.6067196047434</v>
      </c>
      <c r="D100" s="12">
        <v>-2901.6067196047434</v>
      </c>
      <c r="E100" s="12">
        <v>-2901.6067196047434</v>
      </c>
      <c r="F100" s="12">
        <v>-2901.6067196047434</v>
      </c>
      <c r="G100" s="12">
        <v>-2901.6067196047434</v>
      </c>
      <c r="H100" s="12">
        <v>-1656.5705868665918</v>
      </c>
      <c r="I100" s="12">
        <v>-1656.5705868665918</v>
      </c>
      <c r="J100" s="12">
        <v>-1656.5705868665918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609">
        <v>0</v>
      </c>
      <c r="T100" t="s">
        <v>98</v>
      </c>
      <c r="U100" t="s">
        <v>24</v>
      </c>
      <c r="V100" s="336"/>
      <c r="W100" s="12"/>
      <c r="X100" s="12"/>
      <c r="Y100" s="291"/>
    </row>
    <row r="101" spans="1:25">
      <c r="A101" s="14" t="s">
        <v>55</v>
      </c>
      <c r="B101" s="12" t="s">
        <v>551</v>
      </c>
      <c r="C101" s="12">
        <v>-87310.418381812095</v>
      </c>
      <c r="D101" s="12">
        <v>-87310.418381812095</v>
      </c>
      <c r="E101" s="12">
        <v>-87310.418381812095</v>
      </c>
      <c r="F101" s="12">
        <v>-87310.418381812095</v>
      </c>
      <c r="G101" s="12">
        <v>-87310.418381812095</v>
      </c>
      <c r="H101" s="12">
        <v>-93536.339217096684</v>
      </c>
      <c r="I101" s="12">
        <v>-93536.339217096684</v>
      </c>
      <c r="J101" s="12">
        <v>-93536.339217096684</v>
      </c>
      <c r="K101" s="12">
        <v>-190908.3696552389</v>
      </c>
      <c r="L101" s="12">
        <v>-190908.3696552389</v>
      </c>
      <c r="M101" s="12">
        <v>-182489.27020956861</v>
      </c>
      <c r="N101" s="12">
        <v>-232593.89170328664</v>
      </c>
      <c r="O101" s="12">
        <v>-232593.89170328664</v>
      </c>
      <c r="P101" s="12">
        <v>-232593.89170328664</v>
      </c>
      <c r="Q101" s="12">
        <v>-246532.22998150348</v>
      </c>
      <c r="R101" s="12">
        <v>-246532.22998150348</v>
      </c>
      <c r="S101" s="609">
        <v>-246532.22998150348</v>
      </c>
      <c r="T101" t="s">
        <v>98</v>
      </c>
      <c r="U101" t="s">
        <v>24</v>
      </c>
      <c r="V101" s="336"/>
      <c r="W101" s="12"/>
      <c r="X101" s="12"/>
      <c r="Y101" s="291"/>
    </row>
    <row r="102" spans="1:25">
      <c r="A102" t="s">
        <v>270</v>
      </c>
      <c r="B102" s="12" t="s">
        <v>567</v>
      </c>
      <c r="C102" s="12">
        <v>115112.231</v>
      </c>
      <c r="D102" s="12">
        <v>115112.231</v>
      </c>
      <c r="E102" s="12">
        <v>115112.231</v>
      </c>
      <c r="F102" s="12">
        <v>115112.231</v>
      </c>
      <c r="G102" s="12">
        <v>128081.288</v>
      </c>
      <c r="H102" s="12">
        <v>128081.288</v>
      </c>
      <c r="I102" s="12">
        <v>128081.288</v>
      </c>
      <c r="J102" s="12">
        <v>128081.288</v>
      </c>
      <c r="K102" s="12">
        <v>144870.24400000001</v>
      </c>
      <c r="L102" s="12">
        <v>144870.24400000001</v>
      </c>
      <c r="M102" s="12">
        <v>186051.41</v>
      </c>
      <c r="N102" s="12">
        <v>220326.85200000001</v>
      </c>
      <c r="O102" s="12">
        <v>220326.85200000001</v>
      </c>
      <c r="P102" s="12">
        <v>220326.85200000001</v>
      </c>
      <c r="Q102" s="12">
        <v>210348.519</v>
      </c>
      <c r="R102" s="12">
        <v>210348.519</v>
      </c>
      <c r="S102" s="609">
        <v>210348.519</v>
      </c>
      <c r="T102" t="s">
        <v>100</v>
      </c>
      <c r="U102" t="s">
        <v>24</v>
      </c>
      <c r="V102" s="336"/>
      <c r="W102" s="12"/>
      <c r="X102" s="12"/>
      <c r="Y102" s="291"/>
    </row>
    <row r="103" spans="1:25">
      <c r="A103" t="s">
        <v>61</v>
      </c>
      <c r="B103" s="12" t="s">
        <v>567</v>
      </c>
      <c r="C103" s="12">
        <v>15145.043</v>
      </c>
      <c r="D103" s="12">
        <v>15145.043</v>
      </c>
      <c r="E103" s="12">
        <v>15145.043</v>
      </c>
      <c r="F103" s="12">
        <v>15145.043</v>
      </c>
      <c r="G103" s="12">
        <v>0</v>
      </c>
      <c r="H103" s="12">
        <v>0</v>
      </c>
      <c r="I103" s="12">
        <v>0</v>
      </c>
      <c r="J103" s="12">
        <v>0</v>
      </c>
      <c r="K103" s="12">
        <v>4191.1350000000002</v>
      </c>
      <c r="L103" s="12">
        <v>4191.1350000000002</v>
      </c>
      <c r="M103" s="12">
        <v>14728.338</v>
      </c>
      <c r="N103" s="12">
        <v>16389.363000000001</v>
      </c>
      <c r="O103" s="12">
        <v>16389.363000000001</v>
      </c>
      <c r="P103" s="12">
        <v>16389.363000000001</v>
      </c>
      <c r="Q103" s="12">
        <v>17427.594000000001</v>
      </c>
      <c r="R103" s="12">
        <v>17427.594000000001</v>
      </c>
      <c r="S103" s="609">
        <v>17427.594000000001</v>
      </c>
      <c r="T103" t="s">
        <v>100</v>
      </c>
      <c r="U103" t="s">
        <v>24</v>
      </c>
      <c r="V103" s="336"/>
      <c r="W103" s="12"/>
      <c r="X103" s="12"/>
      <c r="Y103" s="291"/>
    </row>
    <row r="104" spans="1:25">
      <c r="A104" t="s">
        <v>429</v>
      </c>
      <c r="B104" s="12" t="s">
        <v>567</v>
      </c>
      <c r="C104" s="12">
        <v>84166.665600000008</v>
      </c>
      <c r="D104" s="12">
        <v>84166.665600000008</v>
      </c>
      <c r="E104" s="12">
        <v>84166.665600000008</v>
      </c>
      <c r="F104" s="12">
        <v>84166.665600000008</v>
      </c>
      <c r="G104" s="12">
        <v>77750.887799999997</v>
      </c>
      <c r="H104" s="12">
        <v>77750.887799999997</v>
      </c>
      <c r="I104" s="12">
        <v>77750.887799999997</v>
      </c>
      <c r="J104" s="12">
        <v>77750.887799999997</v>
      </c>
      <c r="K104" s="12">
        <v>80275.317999999999</v>
      </c>
      <c r="L104" s="12">
        <v>80275.317999999999</v>
      </c>
      <c r="M104" s="12">
        <v>117574.094</v>
      </c>
      <c r="N104" s="12">
        <v>56297.355000000003</v>
      </c>
      <c r="O104" s="12">
        <v>56297.355000000003</v>
      </c>
      <c r="P104" s="12">
        <v>56297.355000000003</v>
      </c>
      <c r="Q104" s="12">
        <v>48660.707999999999</v>
      </c>
      <c r="R104" s="12">
        <v>48660.707999999999</v>
      </c>
      <c r="S104" s="609">
        <v>48660.707999999999</v>
      </c>
      <c r="T104" t="s">
        <v>100</v>
      </c>
      <c r="U104" t="s">
        <v>24</v>
      </c>
      <c r="V104" s="336"/>
      <c r="W104" s="12"/>
      <c r="X104" s="12"/>
      <c r="Y104" s="291"/>
    </row>
    <row r="105" spans="1:25">
      <c r="A105" t="s">
        <v>62</v>
      </c>
      <c r="B105" s="12" t="s">
        <v>567</v>
      </c>
      <c r="C105" s="12">
        <v>16280</v>
      </c>
      <c r="D105" s="12">
        <v>16280</v>
      </c>
      <c r="E105" s="12">
        <v>16280</v>
      </c>
      <c r="F105" s="12">
        <v>16280</v>
      </c>
      <c r="G105" s="12">
        <v>13024</v>
      </c>
      <c r="H105" s="12">
        <v>13024</v>
      </c>
      <c r="I105" s="12">
        <v>13024</v>
      </c>
      <c r="J105" s="12">
        <v>13024</v>
      </c>
      <c r="K105" s="12">
        <v>19157.599999999995</v>
      </c>
      <c r="L105" s="12">
        <v>19157.599999999995</v>
      </c>
      <c r="M105" s="12">
        <v>16279.999999999998</v>
      </c>
      <c r="N105" s="12">
        <v>16279.999999999998</v>
      </c>
      <c r="O105" s="12">
        <v>16279.999999999998</v>
      </c>
      <c r="P105" s="12">
        <v>16279.999999999998</v>
      </c>
      <c r="Q105" s="12">
        <v>16279.999999999998</v>
      </c>
      <c r="R105" s="12">
        <v>16279.999999999998</v>
      </c>
      <c r="S105" s="609">
        <v>16279.999999999998</v>
      </c>
      <c r="T105" t="s">
        <v>100</v>
      </c>
      <c r="U105" t="s">
        <v>24</v>
      </c>
      <c r="V105" s="336"/>
      <c r="W105" s="12"/>
      <c r="X105" s="12"/>
      <c r="Y105" s="291"/>
    </row>
    <row r="106" spans="1:25">
      <c r="A106" t="s">
        <v>63</v>
      </c>
      <c r="B106" s="12" t="s">
        <v>567</v>
      </c>
      <c r="C106" s="12">
        <v>2601.8919999999998</v>
      </c>
      <c r="D106" s="12">
        <v>2601.8919999999998</v>
      </c>
      <c r="E106" s="12">
        <v>2601.8919999999998</v>
      </c>
      <c r="F106" s="12">
        <v>2601.8919999999998</v>
      </c>
      <c r="G106" s="12">
        <v>3458</v>
      </c>
      <c r="H106" s="12">
        <v>3458</v>
      </c>
      <c r="I106" s="12">
        <v>3458</v>
      </c>
      <c r="J106" s="12">
        <v>3458</v>
      </c>
      <c r="K106" s="12">
        <v>4414.4930000000004</v>
      </c>
      <c r="L106" s="12">
        <v>4414.4930000000004</v>
      </c>
      <c r="M106" s="12">
        <v>4783.058</v>
      </c>
      <c r="N106" s="12">
        <v>5102.9219999999996</v>
      </c>
      <c r="O106" s="12">
        <v>5102.9219999999996</v>
      </c>
      <c r="P106" s="12">
        <v>5102.9219999999996</v>
      </c>
      <c r="Q106" s="12">
        <v>4267.1790000000001</v>
      </c>
      <c r="R106" s="12">
        <v>4267.1790000000001</v>
      </c>
      <c r="S106" s="609">
        <v>4267.1790000000001</v>
      </c>
      <c r="T106" t="s">
        <v>100</v>
      </c>
      <c r="U106" t="s">
        <v>24</v>
      </c>
      <c r="V106" s="336"/>
      <c r="W106" s="12"/>
      <c r="X106" s="12"/>
      <c r="Y106" s="291"/>
    </row>
    <row r="107" spans="1:25">
      <c r="A107" t="s">
        <v>64</v>
      </c>
      <c r="B107" s="12" t="s">
        <v>568</v>
      </c>
      <c r="C107" s="12">
        <v>0</v>
      </c>
      <c r="D107" s="12">
        <v>26759.200000000001</v>
      </c>
      <c r="E107" s="12">
        <v>26759.200000000001</v>
      </c>
      <c r="F107" s="12">
        <v>26759.200000000001</v>
      </c>
      <c r="G107" s="12">
        <v>20069.400000000001</v>
      </c>
      <c r="H107" s="12">
        <v>20069.400000000001</v>
      </c>
      <c r="I107" s="12">
        <v>20069.400000000001</v>
      </c>
      <c r="J107" s="12">
        <v>20069.400000000001</v>
      </c>
      <c r="K107" s="12">
        <v>20069.400000000001</v>
      </c>
      <c r="L107" s="12">
        <v>20069.400000000001</v>
      </c>
      <c r="M107" s="12">
        <v>20069.400000000001</v>
      </c>
      <c r="N107" s="12">
        <v>22022.400000000001</v>
      </c>
      <c r="O107" s="12">
        <v>22022.400000000001</v>
      </c>
      <c r="P107" s="12">
        <v>22022.400000000001</v>
      </c>
      <c r="Q107" s="12">
        <v>0</v>
      </c>
      <c r="R107" s="12">
        <v>0</v>
      </c>
      <c r="S107" s="609">
        <v>0</v>
      </c>
      <c r="T107" t="s">
        <v>100</v>
      </c>
      <c r="U107" t="s">
        <v>24</v>
      </c>
      <c r="V107" s="336"/>
      <c r="W107" s="12"/>
      <c r="X107" s="12"/>
      <c r="Y107" s="291"/>
    </row>
    <row r="108" spans="1:25">
      <c r="A108" t="s">
        <v>65</v>
      </c>
      <c r="B108" s="12" t="s">
        <v>479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609">
        <v>0</v>
      </c>
      <c r="T108" t="s">
        <v>100</v>
      </c>
      <c r="U108" t="s">
        <v>24</v>
      </c>
      <c r="V108" s="336"/>
      <c r="W108" s="12"/>
      <c r="X108" s="12"/>
      <c r="Y108" s="291"/>
    </row>
    <row r="109" spans="1:25">
      <c r="A109" t="s">
        <v>66</v>
      </c>
      <c r="B109" s="12" t="s">
        <v>567</v>
      </c>
      <c r="C109" s="12">
        <v>32.645000000000003</v>
      </c>
      <c r="D109" s="12">
        <v>32.645000000000003</v>
      </c>
      <c r="E109" s="12">
        <v>32.645000000000003</v>
      </c>
      <c r="F109" s="12">
        <v>32.645000000000003</v>
      </c>
      <c r="G109" s="12">
        <v>31</v>
      </c>
      <c r="H109" s="12">
        <v>31</v>
      </c>
      <c r="I109" s="12">
        <v>31</v>
      </c>
      <c r="J109" s="12">
        <v>31</v>
      </c>
      <c r="K109" s="12">
        <v>41.46</v>
      </c>
      <c r="L109" s="12">
        <v>41.46</v>
      </c>
      <c r="M109" s="12">
        <v>35.700000000000003</v>
      </c>
      <c r="N109" s="12">
        <v>32</v>
      </c>
      <c r="O109" s="12">
        <v>32</v>
      </c>
      <c r="P109" s="12">
        <v>32</v>
      </c>
      <c r="Q109" s="12">
        <v>32</v>
      </c>
      <c r="R109" s="12">
        <v>32</v>
      </c>
      <c r="S109" s="609">
        <v>32</v>
      </c>
      <c r="T109" t="s">
        <v>100</v>
      </c>
      <c r="U109" t="s">
        <v>24</v>
      </c>
      <c r="V109" s="336"/>
      <c r="W109" s="12"/>
      <c r="X109" s="12"/>
      <c r="Y109" s="291"/>
    </row>
    <row r="110" spans="1:25">
      <c r="A110" t="s">
        <v>241</v>
      </c>
      <c r="B110" s="12" t="s">
        <v>479</v>
      </c>
      <c r="C110" s="12">
        <v>0</v>
      </c>
      <c r="D110" s="12">
        <v>0</v>
      </c>
      <c r="E110" s="12">
        <v>0</v>
      </c>
      <c r="F110" s="12">
        <v>0</v>
      </c>
      <c r="G110" s="12">
        <v>2079</v>
      </c>
      <c r="H110" s="12">
        <v>2079</v>
      </c>
      <c r="I110" s="12">
        <v>2079</v>
      </c>
      <c r="J110" s="12">
        <v>2079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609">
        <v>0</v>
      </c>
      <c r="T110" t="s">
        <v>100</v>
      </c>
      <c r="U110" t="s">
        <v>24</v>
      </c>
      <c r="V110" s="336"/>
      <c r="W110" s="12"/>
      <c r="X110" s="12"/>
      <c r="Y110" s="291"/>
    </row>
    <row r="111" spans="1:25">
      <c r="A111" t="s">
        <v>242</v>
      </c>
      <c r="B111" s="12" t="s">
        <v>479</v>
      </c>
      <c r="C111" s="12">
        <v>0</v>
      </c>
      <c r="D111" s="12">
        <v>0</v>
      </c>
      <c r="E111" s="12">
        <v>0</v>
      </c>
      <c r="F111" s="12">
        <v>0</v>
      </c>
      <c r="G111" s="12">
        <v>1464</v>
      </c>
      <c r="H111" s="12">
        <v>1464</v>
      </c>
      <c r="I111" s="12">
        <v>1464</v>
      </c>
      <c r="J111" s="12">
        <v>1464</v>
      </c>
      <c r="K111" s="12">
        <v>1100</v>
      </c>
      <c r="L111" s="12">
        <v>1100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609">
        <v>0</v>
      </c>
      <c r="T111" t="s">
        <v>100</v>
      </c>
      <c r="U111" t="s">
        <v>24</v>
      </c>
      <c r="V111" s="336"/>
      <c r="W111" s="12"/>
      <c r="X111" s="12"/>
      <c r="Y111" s="291"/>
    </row>
    <row r="112" spans="1:25">
      <c r="A112" t="s">
        <v>307</v>
      </c>
      <c r="B112" s="12" t="s">
        <v>479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40867.582000000002</v>
      </c>
      <c r="K112" s="12">
        <v>62899.071711428565</v>
      </c>
      <c r="L112" s="12">
        <v>62899.071711428565</v>
      </c>
      <c r="M112" s="12">
        <v>18884.133900000001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609">
        <v>0</v>
      </c>
      <c r="T112" t="s">
        <v>100</v>
      </c>
      <c r="U112" t="s">
        <v>24</v>
      </c>
      <c r="V112" s="336"/>
      <c r="W112" s="12"/>
      <c r="X112" s="12"/>
      <c r="Y112" s="291"/>
    </row>
    <row r="113" spans="1:25">
      <c r="A113" t="s">
        <v>313</v>
      </c>
      <c r="B113" s="12" t="s">
        <v>479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609">
        <v>0</v>
      </c>
      <c r="T113" t="s">
        <v>100</v>
      </c>
      <c r="U113" t="s">
        <v>24</v>
      </c>
      <c r="V113" s="336"/>
      <c r="W113" s="12"/>
      <c r="X113" s="12"/>
      <c r="Y113" s="291"/>
    </row>
    <row r="114" spans="1:25">
      <c r="A114" t="s">
        <v>314</v>
      </c>
      <c r="B114" s="12" t="s">
        <v>567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2400</v>
      </c>
      <c r="L114" s="12">
        <v>2400</v>
      </c>
      <c r="M114" s="12">
        <v>3200</v>
      </c>
      <c r="N114" s="12">
        <v>0</v>
      </c>
      <c r="O114" s="12">
        <v>0</v>
      </c>
      <c r="P114" s="12">
        <v>0</v>
      </c>
      <c r="Q114" s="12">
        <v>4400</v>
      </c>
      <c r="R114" s="12">
        <v>4400</v>
      </c>
      <c r="S114" s="609">
        <v>4400</v>
      </c>
      <c r="T114" t="s">
        <v>100</v>
      </c>
      <c r="U114" t="s">
        <v>24</v>
      </c>
      <c r="V114" s="336"/>
      <c r="W114" s="12"/>
      <c r="X114" s="12"/>
      <c r="Y114" s="291"/>
    </row>
    <row r="115" spans="1:25">
      <c r="A115" t="s">
        <v>315</v>
      </c>
      <c r="B115" s="12" t="s">
        <v>567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237.21700000000001</v>
      </c>
      <c r="L115" s="12">
        <v>237.21700000000001</v>
      </c>
      <c r="M115" s="12">
        <v>192</v>
      </c>
      <c r="N115" s="12">
        <v>503</v>
      </c>
      <c r="O115" s="12">
        <v>503</v>
      </c>
      <c r="P115" s="12">
        <v>503</v>
      </c>
      <c r="Q115" s="12">
        <v>553.29999999999995</v>
      </c>
      <c r="R115" s="12">
        <v>553.29999999999995</v>
      </c>
      <c r="S115" s="609">
        <v>553.29999999999995</v>
      </c>
      <c r="T115" t="s">
        <v>100</v>
      </c>
      <c r="U115" t="s">
        <v>24</v>
      </c>
      <c r="V115" s="336"/>
      <c r="W115" s="12"/>
      <c r="X115" s="12"/>
      <c r="Y115" s="291"/>
    </row>
    <row r="116" spans="1:25">
      <c r="A116" t="s">
        <v>308</v>
      </c>
      <c r="B116" s="12" t="s">
        <v>479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5987.7629999999999</v>
      </c>
      <c r="L116" s="12">
        <v>5987.7629999999999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609">
        <v>0</v>
      </c>
      <c r="T116" t="s">
        <v>100</v>
      </c>
      <c r="U116" t="s">
        <v>24</v>
      </c>
      <c r="V116" s="336"/>
      <c r="W116" s="12"/>
      <c r="X116" s="12"/>
      <c r="Y116" s="291"/>
    </row>
    <row r="117" spans="1:25">
      <c r="A117" t="s">
        <v>351</v>
      </c>
      <c r="B117" s="12" t="s">
        <v>479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300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609">
        <v>0</v>
      </c>
      <c r="T117" t="s">
        <v>100</v>
      </c>
      <c r="U117" t="s">
        <v>26</v>
      </c>
      <c r="V117" s="336"/>
      <c r="W117" s="12"/>
      <c r="X117" s="12"/>
      <c r="Y117" s="291"/>
    </row>
    <row r="118" spans="1:25">
      <c r="A118" t="s">
        <v>243</v>
      </c>
      <c r="B118" s="12" t="s">
        <v>479</v>
      </c>
      <c r="C118" s="12">
        <v>0</v>
      </c>
      <c r="D118" s="12">
        <v>0</v>
      </c>
      <c r="E118" s="12">
        <v>0</v>
      </c>
      <c r="F118" s="12">
        <v>0</v>
      </c>
      <c r="G118" s="12">
        <v>286.30700000000002</v>
      </c>
      <c r="H118" s="12">
        <v>286.30700000000002</v>
      </c>
      <c r="I118" s="12">
        <v>286.30700000000002</v>
      </c>
      <c r="J118" s="12">
        <v>286.30700000000002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609">
        <v>0</v>
      </c>
      <c r="T118" t="s">
        <v>100</v>
      </c>
      <c r="U118" t="s">
        <v>24</v>
      </c>
      <c r="V118" s="336"/>
      <c r="W118" s="12"/>
      <c r="X118" s="12"/>
      <c r="Y118" s="291"/>
    </row>
    <row r="119" spans="1:25">
      <c r="A119" t="s">
        <v>205</v>
      </c>
      <c r="B119" s="12" t="s">
        <v>551</v>
      </c>
      <c r="C119" s="739"/>
      <c r="D119" s="739"/>
      <c r="E119" s="739"/>
      <c r="F119" s="739"/>
      <c r="G119" s="739"/>
      <c r="H119" s="739"/>
      <c r="I119" s="739"/>
      <c r="J119" s="739"/>
      <c r="K119" s="739"/>
      <c r="L119" s="739"/>
      <c r="M119" s="739"/>
      <c r="N119" s="739"/>
      <c r="O119" s="739"/>
      <c r="P119" s="739"/>
      <c r="Q119" s="739"/>
      <c r="R119" s="739"/>
      <c r="S119" s="739"/>
      <c r="T119" t="s">
        <v>100</v>
      </c>
      <c r="U119" t="s">
        <v>24</v>
      </c>
      <c r="V119" s="336"/>
      <c r="W119" s="12"/>
      <c r="X119" s="12"/>
      <c r="Y119" s="291"/>
    </row>
    <row r="120" spans="1:25">
      <c r="A120" t="s">
        <v>67</v>
      </c>
      <c r="B120" s="12" t="s">
        <v>569</v>
      </c>
      <c r="C120" s="12">
        <v>9000</v>
      </c>
      <c r="D120" s="12">
        <v>9000</v>
      </c>
      <c r="E120" s="12">
        <v>9000</v>
      </c>
      <c r="F120" s="12">
        <v>9000</v>
      </c>
      <c r="G120" s="12">
        <v>2000</v>
      </c>
      <c r="H120" s="12">
        <v>2000</v>
      </c>
      <c r="I120" s="12">
        <v>2000</v>
      </c>
      <c r="J120" s="12">
        <v>2000</v>
      </c>
      <c r="K120" s="12">
        <v>34000</v>
      </c>
      <c r="L120" s="12">
        <v>34000</v>
      </c>
      <c r="M120" s="12">
        <v>79000</v>
      </c>
      <c r="N120" s="12">
        <v>39000</v>
      </c>
      <c r="O120" s="12">
        <v>39000</v>
      </c>
      <c r="P120" s="12">
        <v>39000</v>
      </c>
      <c r="Q120" s="12">
        <v>-14000</v>
      </c>
      <c r="R120" s="12">
        <v>-14000</v>
      </c>
      <c r="S120" s="12">
        <v>-14000</v>
      </c>
      <c r="T120" t="s">
        <v>100</v>
      </c>
      <c r="U120" t="s">
        <v>26</v>
      </c>
      <c r="V120" s="336"/>
      <c r="W120" s="12"/>
      <c r="X120" s="12"/>
      <c r="Y120" s="291"/>
    </row>
    <row r="121" spans="1:25">
      <c r="A121" t="s">
        <v>68</v>
      </c>
      <c r="B121" s="12" t="s">
        <v>569</v>
      </c>
      <c r="C121" s="12">
        <v>-2000</v>
      </c>
      <c r="D121" s="12">
        <v>-2000</v>
      </c>
      <c r="E121" s="12">
        <v>-2000</v>
      </c>
      <c r="F121" s="12">
        <v>-2000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-8500</v>
      </c>
      <c r="O121" s="12">
        <v>-8500</v>
      </c>
      <c r="P121" s="12">
        <v>-8500</v>
      </c>
      <c r="Q121" s="12">
        <v>-1000</v>
      </c>
      <c r="R121" s="12">
        <v>-1000</v>
      </c>
      <c r="S121" s="12">
        <v>-1000</v>
      </c>
      <c r="T121" t="s">
        <v>100</v>
      </c>
      <c r="U121" t="s">
        <v>26</v>
      </c>
      <c r="V121" s="336"/>
      <c r="W121" s="12"/>
      <c r="X121" s="12"/>
      <c r="Y121" s="291"/>
    </row>
    <row r="122" spans="1:25">
      <c r="A122" t="s">
        <v>69</v>
      </c>
      <c r="B122" s="12" t="s">
        <v>569</v>
      </c>
      <c r="C122" s="12">
        <v>-13000</v>
      </c>
      <c r="D122" s="12">
        <v>-13000</v>
      </c>
      <c r="E122" s="12">
        <v>-13000</v>
      </c>
      <c r="F122" s="12">
        <v>-13000</v>
      </c>
      <c r="G122" s="12">
        <v>-33500</v>
      </c>
      <c r="H122" s="12">
        <v>-33500</v>
      </c>
      <c r="I122" s="12">
        <v>-33500</v>
      </c>
      <c r="J122" s="12">
        <v>-33500</v>
      </c>
      <c r="K122" s="12">
        <v>-45440</v>
      </c>
      <c r="L122" s="12">
        <v>-45440</v>
      </c>
      <c r="M122" s="12">
        <v>0</v>
      </c>
      <c r="N122" s="12">
        <v>-31000</v>
      </c>
      <c r="O122" s="12">
        <v>-31000</v>
      </c>
      <c r="P122" s="12">
        <v>-31000</v>
      </c>
      <c r="Q122" s="12">
        <v>0</v>
      </c>
      <c r="R122" s="12">
        <v>0</v>
      </c>
      <c r="S122" s="12">
        <v>0</v>
      </c>
      <c r="T122" t="s">
        <v>100</v>
      </c>
      <c r="U122" t="s">
        <v>26</v>
      </c>
      <c r="V122" s="336"/>
      <c r="W122" s="12"/>
      <c r="X122" s="12"/>
      <c r="Y122" s="291"/>
    </row>
    <row r="123" spans="1:25">
      <c r="A123" t="s">
        <v>70</v>
      </c>
      <c r="B123" s="12" t="s">
        <v>479</v>
      </c>
      <c r="C123" s="12">
        <v>0</v>
      </c>
      <c r="D123" s="12">
        <v>0</v>
      </c>
      <c r="E123" s="12">
        <v>0</v>
      </c>
      <c r="F123" s="12">
        <v>0</v>
      </c>
      <c r="G123" s="12">
        <v>-928.26216999999997</v>
      </c>
      <c r="H123" s="12">
        <v>-928.26216999999997</v>
      </c>
      <c r="I123" s="12">
        <v>-928.26216999999997</v>
      </c>
      <c r="J123" s="12">
        <v>-928.26216999999997</v>
      </c>
      <c r="K123" s="12">
        <v>-10396.87976</v>
      </c>
      <c r="L123" s="12">
        <v>-10396.87976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t="s">
        <v>100</v>
      </c>
      <c r="U123" t="s">
        <v>26</v>
      </c>
      <c r="V123" s="336"/>
      <c r="W123" s="12"/>
      <c r="X123" s="12"/>
      <c r="Y123" s="291"/>
    </row>
    <row r="124" spans="1:25">
      <c r="A124" t="s">
        <v>71</v>
      </c>
      <c r="B124" s="12" t="s">
        <v>479</v>
      </c>
      <c r="C124" s="12">
        <v>221</v>
      </c>
      <c r="D124" s="12">
        <v>221</v>
      </c>
      <c r="E124" s="12">
        <v>221</v>
      </c>
      <c r="F124" s="12">
        <v>221</v>
      </c>
      <c r="G124" s="12">
        <v>1203</v>
      </c>
      <c r="H124" s="12">
        <v>1203</v>
      </c>
      <c r="I124" s="12">
        <v>1203</v>
      </c>
      <c r="J124" s="12">
        <v>1203</v>
      </c>
      <c r="K124" s="12">
        <v>514.08761000000038</v>
      </c>
      <c r="L124" s="12">
        <v>514.08761000000038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t="s">
        <v>100</v>
      </c>
      <c r="U124" t="s">
        <v>26</v>
      </c>
      <c r="V124" s="336"/>
      <c r="W124" s="12"/>
      <c r="X124" s="12"/>
      <c r="Y124" s="291"/>
    </row>
    <row r="125" spans="1:25">
      <c r="A125" t="s">
        <v>72</v>
      </c>
      <c r="B125" s="12" t="s">
        <v>569</v>
      </c>
      <c r="C125" s="12">
        <v>223</v>
      </c>
      <c r="D125" s="12">
        <v>223</v>
      </c>
      <c r="E125" s="12">
        <v>223</v>
      </c>
      <c r="F125" s="12">
        <v>223</v>
      </c>
      <c r="G125" s="12">
        <v>671</v>
      </c>
      <c r="H125" s="12">
        <v>671</v>
      </c>
      <c r="I125" s="12">
        <v>671</v>
      </c>
      <c r="J125" s="12">
        <v>671</v>
      </c>
      <c r="K125" s="12">
        <v>1300</v>
      </c>
      <c r="L125" s="12">
        <v>1300</v>
      </c>
      <c r="M125" s="12">
        <v>1000</v>
      </c>
      <c r="N125" s="12">
        <v>0</v>
      </c>
      <c r="O125" s="12">
        <v>0</v>
      </c>
      <c r="P125" s="12">
        <v>0</v>
      </c>
      <c r="Q125" s="12">
        <v>-800</v>
      </c>
      <c r="R125" s="12">
        <v>-800</v>
      </c>
      <c r="S125" s="12">
        <v>-800</v>
      </c>
      <c r="T125" t="s">
        <v>100</v>
      </c>
      <c r="U125" t="s">
        <v>26</v>
      </c>
      <c r="V125" s="336"/>
      <c r="W125" s="12"/>
      <c r="X125" s="12"/>
      <c r="Y125" s="291"/>
    </row>
    <row r="126" spans="1:25">
      <c r="A126" t="s">
        <v>73</v>
      </c>
      <c r="B126" s="12" t="s">
        <v>479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30.905999999999999</v>
      </c>
      <c r="L126" s="12">
        <v>30.905999999999999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t="s">
        <v>100</v>
      </c>
      <c r="U126" t="s">
        <v>26</v>
      </c>
      <c r="V126" s="336"/>
      <c r="W126" s="12"/>
      <c r="X126" s="12"/>
      <c r="Y126" s="291"/>
    </row>
    <row r="127" spans="1:25">
      <c r="A127" t="s">
        <v>74</v>
      </c>
      <c r="B127" s="12" t="s">
        <v>479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t="s">
        <v>100</v>
      </c>
      <c r="U127" t="s">
        <v>26</v>
      </c>
      <c r="V127" s="336"/>
      <c r="W127" s="12"/>
      <c r="X127" s="12"/>
      <c r="Y127" s="291"/>
    </row>
    <row r="128" spans="1:25">
      <c r="A128" t="s">
        <v>75</v>
      </c>
      <c r="B128" s="12" t="s">
        <v>570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-9942.5857699999997</v>
      </c>
      <c r="O128" s="12">
        <v>-9942.5857699999997</v>
      </c>
      <c r="P128" s="12">
        <v>-9942.5857699999997</v>
      </c>
      <c r="Q128" s="12">
        <v>0</v>
      </c>
      <c r="R128" s="12">
        <v>0</v>
      </c>
      <c r="S128" s="12">
        <v>0</v>
      </c>
      <c r="T128" t="s">
        <v>100</v>
      </c>
      <c r="U128" t="s">
        <v>26</v>
      </c>
      <c r="V128" s="336"/>
      <c r="W128" s="12"/>
      <c r="X128" s="12"/>
      <c r="Y128" s="291"/>
    </row>
    <row r="129" spans="1:25">
      <c r="A129" t="s">
        <v>76</v>
      </c>
      <c r="B129" s="12" t="s">
        <v>569</v>
      </c>
      <c r="C129" s="12">
        <v>14</v>
      </c>
      <c r="D129" s="12">
        <v>14</v>
      </c>
      <c r="E129" s="12">
        <v>14</v>
      </c>
      <c r="F129" s="12">
        <v>14</v>
      </c>
      <c r="G129" s="12">
        <v>22</v>
      </c>
      <c r="H129" s="12">
        <v>22</v>
      </c>
      <c r="I129" s="12">
        <v>22</v>
      </c>
      <c r="J129" s="12">
        <v>22</v>
      </c>
      <c r="K129" s="12">
        <v>12</v>
      </c>
      <c r="L129" s="12">
        <v>12</v>
      </c>
      <c r="M129" s="12">
        <v>11</v>
      </c>
      <c r="N129" s="12">
        <v>31</v>
      </c>
      <c r="O129" s="12">
        <v>31</v>
      </c>
      <c r="P129" s="12">
        <v>31</v>
      </c>
      <c r="Q129" s="12">
        <v>10</v>
      </c>
      <c r="R129" s="12">
        <v>10</v>
      </c>
      <c r="S129" s="12">
        <v>10</v>
      </c>
      <c r="T129" t="s">
        <v>100</v>
      </c>
      <c r="U129" t="s">
        <v>26</v>
      </c>
      <c r="V129" s="336"/>
      <c r="W129" s="12"/>
      <c r="X129" s="12"/>
      <c r="Y129" s="291"/>
    </row>
    <row r="130" spans="1:25">
      <c r="A130" s="451" t="s">
        <v>244</v>
      </c>
      <c r="B130" s="12" t="s">
        <v>569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-411.07335</v>
      </c>
      <c r="O130" s="12">
        <v>-411.07335</v>
      </c>
      <c r="P130" s="12">
        <v>-411.07335</v>
      </c>
      <c r="Q130" s="12">
        <v>1.0186340659856796E-13</v>
      </c>
      <c r="R130" s="12">
        <v>1.0186340659856796E-13</v>
      </c>
      <c r="S130" s="12">
        <v>1.0186340659856796E-13</v>
      </c>
      <c r="T130" t="s">
        <v>100</v>
      </c>
      <c r="U130" t="s">
        <v>26</v>
      </c>
      <c r="V130" s="336"/>
      <c r="W130" s="12"/>
      <c r="X130" s="12"/>
      <c r="Y130" s="291"/>
    </row>
    <row r="131" spans="1:25">
      <c r="A131" s="451" t="s">
        <v>245</v>
      </c>
      <c r="B131" s="12" t="s">
        <v>479</v>
      </c>
      <c r="C131" s="12">
        <v>0</v>
      </c>
      <c r="D131" s="12">
        <v>0</v>
      </c>
      <c r="E131" s="12">
        <v>0</v>
      </c>
      <c r="F131" s="12">
        <v>0</v>
      </c>
      <c r="G131" s="12">
        <v>1430</v>
      </c>
      <c r="H131" s="12">
        <v>1430</v>
      </c>
      <c r="I131" s="12">
        <v>1430</v>
      </c>
      <c r="J131" s="12">
        <v>1430</v>
      </c>
      <c r="K131" s="12">
        <v>320</v>
      </c>
      <c r="L131" s="12">
        <v>320</v>
      </c>
      <c r="M131" s="12">
        <v>-985.40700000000004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t="s">
        <v>100</v>
      </c>
      <c r="U131" t="s">
        <v>26</v>
      </c>
      <c r="V131" s="336"/>
      <c r="W131" s="12"/>
      <c r="X131" s="12"/>
      <c r="Y131" s="291"/>
    </row>
    <row r="132" spans="1:25">
      <c r="A132" s="451" t="s">
        <v>246</v>
      </c>
      <c r="B132" s="12" t="s">
        <v>569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400</v>
      </c>
      <c r="R132" s="12">
        <v>400</v>
      </c>
      <c r="S132" s="12">
        <v>400</v>
      </c>
      <c r="T132" t="s">
        <v>100</v>
      </c>
      <c r="U132" t="s">
        <v>26</v>
      </c>
      <c r="V132" s="336"/>
      <c r="W132" s="12"/>
      <c r="X132" s="12"/>
      <c r="Y132" s="291"/>
    </row>
    <row r="133" spans="1:25">
      <c r="A133" s="451" t="s">
        <v>319</v>
      </c>
      <c r="B133" s="12" t="s">
        <v>569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3200</v>
      </c>
      <c r="L133" s="12">
        <v>3200</v>
      </c>
      <c r="M133" s="12">
        <v>6700</v>
      </c>
      <c r="N133" s="12">
        <v>8100</v>
      </c>
      <c r="O133" s="12">
        <v>8100</v>
      </c>
      <c r="P133" s="12">
        <v>8100</v>
      </c>
      <c r="Q133" s="12">
        <v>27000</v>
      </c>
      <c r="R133" s="12">
        <v>27000</v>
      </c>
      <c r="S133" s="12">
        <v>27000</v>
      </c>
      <c r="T133" t="s">
        <v>100</v>
      </c>
      <c r="U133" t="s">
        <v>26</v>
      </c>
      <c r="V133" s="336"/>
      <c r="W133" s="12"/>
      <c r="X133" s="12"/>
      <c r="Y133" s="291"/>
    </row>
    <row r="134" spans="1:25">
      <c r="A134" s="451" t="s">
        <v>320</v>
      </c>
      <c r="B134" s="12" t="s">
        <v>569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600</v>
      </c>
      <c r="N134" s="12">
        <v>-300</v>
      </c>
      <c r="O134" s="12">
        <v>-300</v>
      </c>
      <c r="P134" s="12">
        <v>-300</v>
      </c>
      <c r="Q134" s="12">
        <v>0</v>
      </c>
      <c r="R134" s="12">
        <v>0</v>
      </c>
      <c r="S134" s="12">
        <v>0</v>
      </c>
      <c r="T134" t="s">
        <v>100</v>
      </c>
      <c r="U134" t="s">
        <v>26</v>
      </c>
      <c r="V134" s="336"/>
      <c r="W134" s="12"/>
      <c r="X134" s="12"/>
      <c r="Y134" s="291"/>
    </row>
    <row r="135" spans="1:25">
      <c r="A135" s="451" t="s">
        <v>321</v>
      </c>
      <c r="B135" s="12" t="s">
        <v>569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2900</v>
      </c>
      <c r="O135" s="12">
        <v>2900</v>
      </c>
      <c r="P135" s="12">
        <v>2900</v>
      </c>
      <c r="Q135" s="12">
        <v>0</v>
      </c>
      <c r="R135" s="12">
        <v>0</v>
      </c>
      <c r="S135" s="12">
        <v>0</v>
      </c>
      <c r="T135" t="s">
        <v>100</v>
      </c>
      <c r="U135" t="s">
        <v>26</v>
      </c>
      <c r="V135" s="336"/>
      <c r="W135" s="12"/>
      <c r="X135" s="12"/>
      <c r="Y135" s="291"/>
    </row>
    <row r="136" spans="1:25">
      <c r="A136" s="451" t="s">
        <v>322</v>
      </c>
      <c r="B136" s="12" t="s">
        <v>569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340</v>
      </c>
      <c r="L136" s="12">
        <v>340</v>
      </c>
      <c r="M136" s="12">
        <v>140</v>
      </c>
      <c r="N136" s="12">
        <v>430</v>
      </c>
      <c r="O136" s="12">
        <v>430</v>
      </c>
      <c r="P136" s="12">
        <v>430</v>
      </c>
      <c r="Q136" s="12">
        <v>700</v>
      </c>
      <c r="R136" s="12">
        <v>700</v>
      </c>
      <c r="S136" s="12">
        <v>700</v>
      </c>
      <c r="T136" t="s">
        <v>100</v>
      </c>
      <c r="U136" t="s">
        <v>26</v>
      </c>
      <c r="V136" s="336"/>
      <c r="W136" s="12"/>
      <c r="X136" s="12"/>
      <c r="Y136" s="291"/>
    </row>
    <row r="137" spans="1:25">
      <c r="A137" t="s">
        <v>206</v>
      </c>
      <c r="B137" s="12" t="s">
        <v>569</v>
      </c>
      <c r="C137" s="12">
        <v>21354.984</v>
      </c>
      <c r="D137" s="12">
        <v>21354.984</v>
      </c>
      <c r="E137" s="12">
        <v>21354.984</v>
      </c>
      <c r="F137" s="12">
        <v>21354.984</v>
      </c>
      <c r="G137" s="12">
        <v>2170.9180000000001</v>
      </c>
      <c r="H137" s="12">
        <v>2170.9180000000001</v>
      </c>
      <c r="I137" s="12">
        <v>2170.9180000000001</v>
      </c>
      <c r="J137" s="12">
        <v>2170.9180000000001</v>
      </c>
      <c r="K137" s="12">
        <v>9362.7150000000001</v>
      </c>
      <c r="L137" s="12">
        <v>9362.7150000000001</v>
      </c>
      <c r="M137" s="12">
        <v>18725.337</v>
      </c>
      <c r="N137" s="12">
        <v>-37450.673999999999</v>
      </c>
      <c r="O137" s="12">
        <v>-37450.673999999999</v>
      </c>
      <c r="P137" s="12">
        <v>-37450.673999999999</v>
      </c>
      <c r="Q137" s="12">
        <v>0</v>
      </c>
      <c r="R137" s="12">
        <v>0</v>
      </c>
      <c r="S137" s="12">
        <v>0</v>
      </c>
      <c r="T137" t="s">
        <v>100</v>
      </c>
      <c r="U137" t="s">
        <v>26</v>
      </c>
      <c r="V137" s="336"/>
      <c r="W137" s="12"/>
      <c r="X137" s="12"/>
      <c r="Y137" s="291"/>
    </row>
    <row r="138" spans="1:25">
      <c r="A138" t="s">
        <v>77</v>
      </c>
      <c r="B138" s="12" t="s">
        <v>571</v>
      </c>
      <c r="C138" s="12">
        <v>60000</v>
      </c>
      <c r="D138" s="12">
        <v>60000</v>
      </c>
      <c r="E138" s="12">
        <v>60000</v>
      </c>
      <c r="F138" s="12">
        <v>60000</v>
      </c>
      <c r="G138" s="12">
        <v>80000</v>
      </c>
      <c r="H138" s="12">
        <v>80000</v>
      </c>
      <c r="I138" s="12">
        <v>80000</v>
      </c>
      <c r="J138" s="12">
        <v>80000</v>
      </c>
      <c r="K138" s="12">
        <v>80000</v>
      </c>
      <c r="L138" s="12">
        <v>80000</v>
      </c>
      <c r="M138" s="12">
        <v>1000</v>
      </c>
      <c r="N138" s="12">
        <v>9000</v>
      </c>
      <c r="O138" s="12">
        <v>9000</v>
      </c>
      <c r="P138" s="12">
        <v>9000</v>
      </c>
      <c r="Q138" s="12">
        <v>0</v>
      </c>
      <c r="R138" s="12">
        <v>0</v>
      </c>
      <c r="S138" s="12">
        <v>0</v>
      </c>
      <c r="T138" t="s">
        <v>78</v>
      </c>
      <c r="U138" t="s">
        <v>26</v>
      </c>
      <c r="V138" s="336"/>
      <c r="W138" s="12"/>
      <c r="X138" s="12"/>
      <c r="Y138" s="291"/>
    </row>
    <row r="139" spans="1:25">
      <c r="A139" t="s">
        <v>350</v>
      </c>
      <c r="B139" s="12" t="s">
        <v>548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67.437064499999991</v>
      </c>
      <c r="N139" s="12">
        <v>376.61006789999999</v>
      </c>
      <c r="O139" s="12">
        <v>376.61006789999999</v>
      </c>
      <c r="P139" s="12">
        <v>376.61006789999999</v>
      </c>
      <c r="Q139" s="12">
        <v>115.25279849999998</v>
      </c>
      <c r="R139" s="12">
        <v>115.25279849999998</v>
      </c>
      <c r="S139" s="12">
        <v>115.25279849999998</v>
      </c>
      <c r="T139" t="s">
        <v>5</v>
      </c>
      <c r="U139" t="s">
        <v>26</v>
      </c>
      <c r="V139" s="336"/>
      <c r="W139" s="12"/>
      <c r="X139" s="12"/>
      <c r="Y139" s="291"/>
    </row>
    <row r="140" spans="1:25">
      <c r="A140" t="s">
        <v>347</v>
      </c>
      <c r="B140" s="12" t="s">
        <v>572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336</v>
      </c>
      <c r="N140" s="12">
        <v>379.5</v>
      </c>
      <c r="O140" s="12">
        <v>379.5</v>
      </c>
      <c r="P140" s="12">
        <v>379.5</v>
      </c>
      <c r="Q140" s="12">
        <v>0</v>
      </c>
      <c r="R140" s="12">
        <v>0</v>
      </c>
      <c r="S140" s="12">
        <v>0</v>
      </c>
      <c r="T140" t="s">
        <v>100</v>
      </c>
      <c r="U140" t="s">
        <v>24</v>
      </c>
      <c r="V140" s="336"/>
      <c r="W140" s="12"/>
      <c r="X140" s="12"/>
      <c r="Y140" s="291"/>
    </row>
    <row r="141" spans="1:25">
      <c r="A141" t="s">
        <v>348</v>
      </c>
      <c r="B141" s="12" t="s">
        <v>572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295.5</v>
      </c>
      <c r="N141" s="12">
        <v>325.5</v>
      </c>
      <c r="O141" s="12">
        <v>325.5</v>
      </c>
      <c r="P141" s="12">
        <v>325.5</v>
      </c>
      <c r="Q141" s="12">
        <v>0</v>
      </c>
      <c r="R141" s="12">
        <v>0</v>
      </c>
      <c r="S141" s="12">
        <v>0</v>
      </c>
      <c r="T141" t="s">
        <v>100</v>
      </c>
      <c r="U141" t="s">
        <v>24</v>
      </c>
      <c r="V141" s="336"/>
      <c r="W141" s="12"/>
      <c r="X141" s="12"/>
      <c r="Y141" s="291"/>
    </row>
    <row r="142" spans="1:25">
      <c r="A142" t="s">
        <v>385</v>
      </c>
      <c r="B142" s="12" t="s">
        <v>569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400</v>
      </c>
      <c r="O142" s="12">
        <v>400</v>
      </c>
      <c r="P142" s="12">
        <v>400</v>
      </c>
      <c r="Q142" s="12">
        <v>700</v>
      </c>
      <c r="R142" s="12">
        <v>700</v>
      </c>
      <c r="S142" s="12">
        <v>700</v>
      </c>
      <c r="T142" t="s">
        <v>100</v>
      </c>
      <c r="U142" t="s">
        <v>26</v>
      </c>
      <c r="V142" s="336"/>
      <c r="W142" s="12"/>
      <c r="X142" s="12"/>
      <c r="Y142" s="291"/>
    </row>
    <row r="143" spans="1:25">
      <c r="A143" t="s">
        <v>386</v>
      </c>
      <c r="B143" s="12" t="s">
        <v>569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300</v>
      </c>
      <c r="O143" s="12">
        <v>300</v>
      </c>
      <c r="P143" s="12">
        <v>300</v>
      </c>
      <c r="Q143" s="12">
        <v>500</v>
      </c>
      <c r="R143" s="12">
        <v>500</v>
      </c>
      <c r="S143" s="12">
        <v>500</v>
      </c>
      <c r="T143" t="s">
        <v>100</v>
      </c>
      <c r="U143" t="s">
        <v>26</v>
      </c>
      <c r="V143" s="336"/>
      <c r="W143" s="12"/>
      <c r="X143" s="12"/>
      <c r="Y143" s="291"/>
    </row>
    <row r="144" spans="1:25">
      <c r="A144" t="s">
        <v>387</v>
      </c>
      <c r="B144" s="12" t="s">
        <v>479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t="s">
        <v>100</v>
      </c>
      <c r="U144" t="s">
        <v>26</v>
      </c>
      <c r="V144" s="336"/>
      <c r="W144" s="12"/>
      <c r="X144" s="12"/>
      <c r="Y144" s="291"/>
    </row>
    <row r="145" spans="1:25">
      <c r="A145" t="s">
        <v>390</v>
      </c>
      <c r="B145" s="12" t="s">
        <v>548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248.998392</v>
      </c>
      <c r="O145" s="12">
        <v>248.998392</v>
      </c>
      <c r="P145" s="12">
        <v>248.998392</v>
      </c>
      <c r="Q145" s="12">
        <v>285.53621249999998</v>
      </c>
      <c r="R145" s="12">
        <v>285.53621249999998</v>
      </c>
      <c r="S145" s="12">
        <v>285.53621249999998</v>
      </c>
      <c r="T145" t="s">
        <v>5</v>
      </c>
      <c r="U145" t="s">
        <v>26</v>
      </c>
      <c r="V145" s="336"/>
      <c r="W145" s="12"/>
      <c r="X145" s="12"/>
      <c r="Y145" s="291"/>
    </row>
    <row r="146" spans="1:25">
      <c r="A146" t="s">
        <v>391</v>
      </c>
      <c r="B146" s="12" t="s">
        <v>548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7.2624531000000001</v>
      </c>
      <c r="O146" s="12">
        <v>7.2624531000000001</v>
      </c>
      <c r="P146" s="12">
        <v>7.2624531000000001</v>
      </c>
      <c r="Q146" s="12">
        <v>20.766269999999999</v>
      </c>
      <c r="R146" s="12">
        <v>20.766269999999999</v>
      </c>
      <c r="S146" s="12">
        <v>20.766269999999999</v>
      </c>
      <c r="T146" t="s">
        <v>5</v>
      </c>
      <c r="U146" t="s">
        <v>26</v>
      </c>
      <c r="V146" s="336"/>
      <c r="W146" s="12"/>
      <c r="X146" s="12"/>
      <c r="Y146" s="291"/>
    </row>
    <row r="147" spans="1:25" ht="13.95" customHeight="1">
      <c r="A147" t="s">
        <v>392</v>
      </c>
      <c r="B147" s="12" t="s">
        <v>548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43.574718599999997</v>
      </c>
      <c r="O147" s="12">
        <v>43.574718599999997</v>
      </c>
      <c r="P147" s="12">
        <v>43.574718599999997</v>
      </c>
      <c r="Q147" s="12">
        <v>61.260496499999995</v>
      </c>
      <c r="R147" s="12">
        <v>61.260496499999995</v>
      </c>
      <c r="S147" s="12">
        <v>61.260496499999995</v>
      </c>
      <c r="T147" t="s">
        <v>5</v>
      </c>
      <c r="U147" t="s">
        <v>26</v>
      </c>
      <c r="V147" s="336"/>
      <c r="W147" s="12"/>
      <c r="X147" s="12"/>
      <c r="Y147" s="291"/>
    </row>
    <row r="148" spans="1:25">
      <c r="A148" t="s">
        <v>448</v>
      </c>
      <c r="B148" s="12" t="s">
        <v>573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9511.6319999999996</v>
      </c>
      <c r="Q148" s="12">
        <v>29165.073599999996</v>
      </c>
      <c r="R148" s="12">
        <v>29165.073599999996</v>
      </c>
      <c r="S148" s="12">
        <v>19653.441599999998</v>
      </c>
      <c r="T148" t="s">
        <v>100</v>
      </c>
      <c r="U148" t="s">
        <v>24</v>
      </c>
      <c r="V148" s="336"/>
      <c r="W148" s="12"/>
      <c r="X148" s="12"/>
      <c r="Y148" s="291"/>
    </row>
    <row r="149" spans="1:25">
      <c r="A149" t="s">
        <v>467</v>
      </c>
      <c r="B149" s="12" t="s">
        <v>574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60523</v>
      </c>
      <c r="R149" s="12">
        <v>60523</v>
      </c>
      <c r="S149" s="12">
        <v>60523</v>
      </c>
      <c r="T149" t="s">
        <v>100</v>
      </c>
      <c r="U149" t="s">
        <v>24</v>
      </c>
      <c r="V149" s="336"/>
      <c r="W149" s="15"/>
      <c r="X149" s="12"/>
      <c r="Y149" s="291"/>
    </row>
    <row r="150" spans="1:25">
      <c r="A150" t="s">
        <v>469</v>
      </c>
      <c r="B150" s="12" t="s">
        <v>575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489">
        <v>2520</v>
      </c>
      <c r="R150" s="489">
        <v>2520</v>
      </c>
      <c r="S150" s="489">
        <v>2520</v>
      </c>
      <c r="T150" t="s">
        <v>100</v>
      </c>
      <c r="U150" t="s">
        <v>24</v>
      </c>
      <c r="V150" s="336"/>
      <c r="W150" s="15"/>
      <c r="X150" s="12"/>
      <c r="Y150" s="291"/>
    </row>
    <row r="151" spans="1:25">
      <c r="A151" t="s">
        <v>470</v>
      </c>
      <c r="B151" s="12" t="s">
        <v>576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489">
        <v>1959.0642899999996</v>
      </c>
      <c r="R151" s="489">
        <v>1959.0642899999996</v>
      </c>
      <c r="S151" s="489">
        <v>1959.0642899999996</v>
      </c>
      <c r="T151" t="s">
        <v>5</v>
      </c>
      <c r="U151" t="s">
        <v>24</v>
      </c>
      <c r="V151" s="336"/>
      <c r="W151" s="15"/>
      <c r="X151" s="12"/>
      <c r="Y151" s="291"/>
    </row>
    <row r="152" spans="1:25">
      <c r="A152" s="13" t="s">
        <v>471</v>
      </c>
      <c r="B152" s="12" t="s">
        <v>576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489">
        <v>824.16204999999979</v>
      </c>
      <c r="R152" s="489">
        <v>824.16204999999979</v>
      </c>
      <c r="S152" s="489">
        <v>824.16204999999979</v>
      </c>
      <c r="T152" t="s">
        <v>3</v>
      </c>
      <c r="U152" t="s">
        <v>24</v>
      </c>
      <c r="V152" s="336"/>
      <c r="W152" s="15"/>
      <c r="X152" s="12"/>
      <c r="Y152" s="291"/>
    </row>
    <row r="153" spans="1:25">
      <c r="A153" s="13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V153" s="336"/>
      <c r="W153" s="15"/>
      <c r="X153" s="12"/>
      <c r="Y153" s="291"/>
    </row>
    <row r="154" spans="1:25">
      <c r="A154" s="13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V154" s="336"/>
      <c r="W154" s="15"/>
      <c r="X154" s="12"/>
      <c r="Y154" s="291"/>
    </row>
    <row r="155" spans="1:25">
      <c r="A155" s="18" t="s">
        <v>8</v>
      </c>
      <c r="B155" s="21"/>
      <c r="C155" s="21">
        <f t="shared" ref="C155:S155" si="1">SUM(C64:C154)</f>
        <v>314867.0308045494</v>
      </c>
      <c r="D155" s="21">
        <f t="shared" si="1"/>
        <v>342629.52151790942</v>
      </c>
      <c r="E155" s="21">
        <f t="shared" si="1"/>
        <v>342629.52151790942</v>
      </c>
      <c r="F155" s="21">
        <f t="shared" si="1"/>
        <v>342629.52151790942</v>
      </c>
      <c r="G155" s="21">
        <f t="shared" si="1"/>
        <v>341755.14510374423</v>
      </c>
      <c r="H155" s="21">
        <f t="shared" si="1"/>
        <v>336767.3955279417</v>
      </c>
      <c r="I155" s="21">
        <f t="shared" si="1"/>
        <v>336767.3955279417</v>
      </c>
      <c r="J155" s="21">
        <f t="shared" si="1"/>
        <v>388319.13189294533</v>
      </c>
      <c r="K155" s="21">
        <f t="shared" si="1"/>
        <v>405959.15260720375</v>
      </c>
      <c r="L155" s="21">
        <f t="shared" si="1"/>
        <v>405959.15260720375</v>
      </c>
      <c r="M155" s="21">
        <f t="shared" si="1"/>
        <v>539385.07509551116</v>
      </c>
      <c r="N155" s="21">
        <f t="shared" si="1"/>
        <v>394317.98355566274</v>
      </c>
      <c r="O155" s="21">
        <f t="shared" si="1"/>
        <v>394700.8783472536</v>
      </c>
      <c r="P155" s="21">
        <f t="shared" si="1"/>
        <v>404569.13281931909</v>
      </c>
      <c r="Q155" s="21">
        <f t="shared" si="1"/>
        <v>207599.01782842237</v>
      </c>
      <c r="R155" s="21">
        <f t="shared" si="1"/>
        <v>207599.01782842237</v>
      </c>
      <c r="S155" s="21">
        <f t="shared" si="1"/>
        <v>197722.96191579037</v>
      </c>
      <c r="V155" s="336"/>
      <c r="W155" s="21"/>
      <c r="X155" s="12"/>
      <c r="Y155" s="291"/>
    </row>
    <row r="156" spans="1: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V156" s="336"/>
      <c r="W156" s="15"/>
      <c r="X156" s="12"/>
      <c r="Y156" s="291"/>
    </row>
    <row r="157" spans="1:25">
      <c r="A157" s="18" t="s">
        <v>9</v>
      </c>
      <c r="V157" s="336"/>
      <c r="X157" s="12"/>
      <c r="Y157" s="291"/>
    </row>
    <row r="158" spans="1:25">
      <c r="A158" t="s">
        <v>83</v>
      </c>
      <c r="B158" s="12" t="s">
        <v>577</v>
      </c>
      <c r="C158" s="15">
        <v>868299.98992230475</v>
      </c>
      <c r="D158" s="15">
        <v>868299.98992230475</v>
      </c>
      <c r="E158" s="15">
        <v>868299.98992230475</v>
      </c>
      <c r="F158" s="15">
        <v>868299.98992230475</v>
      </c>
      <c r="G158" s="15">
        <v>1035770.6823141619</v>
      </c>
      <c r="H158" s="15">
        <v>1035770.6823141619</v>
      </c>
      <c r="I158" s="15">
        <v>1035770.6823141619</v>
      </c>
      <c r="J158" s="15">
        <v>1035770.6823141619</v>
      </c>
      <c r="K158" s="15">
        <v>1074297.3462269725</v>
      </c>
      <c r="L158" s="15">
        <v>1074297.3462269725</v>
      </c>
      <c r="M158" s="15">
        <v>1193257.0559192772</v>
      </c>
      <c r="N158" s="15">
        <v>1015801.8622927812</v>
      </c>
      <c r="O158" s="15">
        <v>1015801.8622927812</v>
      </c>
      <c r="P158" s="12">
        <v>1015801.8622927812</v>
      </c>
      <c r="Q158" s="12">
        <v>1015801.8622927812</v>
      </c>
      <c r="R158" s="12">
        <v>1241611.5256814267</v>
      </c>
      <c r="S158" s="12">
        <v>1241611.5256814267</v>
      </c>
      <c r="T158" t="s">
        <v>10</v>
      </c>
      <c r="U158" t="s">
        <v>24</v>
      </c>
      <c r="V158" s="336"/>
      <c r="W158" s="15"/>
      <c r="X158" s="12"/>
      <c r="Y158" s="291"/>
    </row>
    <row r="159" spans="1:25">
      <c r="A159" t="s">
        <v>84</v>
      </c>
      <c r="B159" s="12" t="s">
        <v>578</v>
      </c>
      <c r="C159" s="12">
        <v>-290446.64441818016</v>
      </c>
      <c r="D159" s="12">
        <v>-290446.64441818016</v>
      </c>
      <c r="E159" s="12">
        <v>-290446.64441818016</v>
      </c>
      <c r="F159" s="12">
        <v>-290446.64441818016</v>
      </c>
      <c r="G159" s="12">
        <v>-277683.71417458501</v>
      </c>
      <c r="H159" s="12">
        <v>-277683.71417458501</v>
      </c>
      <c r="I159" s="12">
        <v>-277683.71417458501</v>
      </c>
      <c r="J159" s="12">
        <v>-277683.71417458501</v>
      </c>
      <c r="K159" s="12">
        <v>-278898.97072907857</v>
      </c>
      <c r="L159" s="12">
        <v>-278898.97072907857</v>
      </c>
      <c r="M159" s="12">
        <v>-290681.11501687701</v>
      </c>
      <c r="N159" s="12">
        <v>-281192.87689030415</v>
      </c>
      <c r="O159" s="12">
        <v>-281192.87689030415</v>
      </c>
      <c r="P159" s="12">
        <v>-281192.87689030415</v>
      </c>
      <c r="Q159" s="12">
        <v>-338074.81254709855</v>
      </c>
      <c r="R159" s="12">
        <v>-338074.81254709855</v>
      </c>
      <c r="S159" s="12">
        <v>-338074.81254709855</v>
      </c>
      <c r="T159" t="s">
        <v>10</v>
      </c>
      <c r="U159" t="s">
        <v>26</v>
      </c>
      <c r="V159" s="336"/>
      <c r="W159" s="12"/>
      <c r="X159" s="12"/>
      <c r="Y159" s="291"/>
    </row>
    <row r="160" spans="1:25">
      <c r="A160" t="s">
        <v>85</v>
      </c>
      <c r="B160" s="12" t="s">
        <v>579</v>
      </c>
      <c r="C160" s="12">
        <v>-19395.786457506467</v>
      </c>
      <c r="D160" s="12">
        <v>-19395.786457506467</v>
      </c>
      <c r="E160" s="12">
        <v>-19395.786457506467</v>
      </c>
      <c r="F160" s="12">
        <v>-19395.786457506467</v>
      </c>
      <c r="G160" s="12">
        <v>-21666.547322748575</v>
      </c>
      <c r="H160" s="12">
        <v>-21666.547322748575</v>
      </c>
      <c r="I160" s="12">
        <v>-21666.547322748575</v>
      </c>
      <c r="J160" s="12">
        <v>-21666.547322748575</v>
      </c>
      <c r="K160" s="12">
        <v>-22726.988940683394</v>
      </c>
      <c r="L160" s="12">
        <v>-22726.988940683394</v>
      </c>
      <c r="M160" s="12">
        <v>-42946.287503795225</v>
      </c>
      <c r="N160" s="12">
        <v>-49504.512347211225</v>
      </c>
      <c r="O160" s="12">
        <v>-49504.512347211225</v>
      </c>
      <c r="P160" s="12">
        <v>-49504.512347211225</v>
      </c>
      <c r="Q160" s="12">
        <v>-40831.286867283969</v>
      </c>
      <c r="R160" s="12">
        <v>-40831.286867283969</v>
      </c>
      <c r="S160" s="12">
        <v>-40831.286867283969</v>
      </c>
      <c r="T160" t="s">
        <v>10</v>
      </c>
      <c r="U160" t="s">
        <v>26</v>
      </c>
      <c r="V160" s="336"/>
      <c r="W160" s="12"/>
      <c r="X160" s="12"/>
      <c r="Y160" s="291"/>
    </row>
    <row r="161" spans="1:25">
      <c r="A161" t="s">
        <v>86</v>
      </c>
      <c r="B161" s="12" t="s">
        <v>580</v>
      </c>
      <c r="C161" s="12">
        <v>631.66948234935251</v>
      </c>
      <c r="D161" s="12">
        <v>631.66948234935251</v>
      </c>
      <c r="E161" s="12">
        <v>631.66948234935251</v>
      </c>
      <c r="F161" s="12">
        <v>631.66948234935251</v>
      </c>
      <c r="G161" s="12">
        <v>-245.06877306482485</v>
      </c>
      <c r="H161" s="12">
        <v>-245.06877306482485</v>
      </c>
      <c r="I161" s="12">
        <v>-245.06877306482485</v>
      </c>
      <c r="J161" s="12">
        <v>-245.06877306482485</v>
      </c>
      <c r="K161" s="12">
        <v>151.21123428324981</v>
      </c>
      <c r="L161" s="12">
        <v>151.21123428324981</v>
      </c>
      <c r="M161" s="12">
        <v>557.06449752135018</v>
      </c>
      <c r="N161" s="12">
        <v>141.01499621368913</v>
      </c>
      <c r="O161" s="12">
        <v>141.01499621368913</v>
      </c>
      <c r="P161" s="12">
        <v>141.01499621368913</v>
      </c>
      <c r="Q161" s="12">
        <v>178.76388774267036</v>
      </c>
      <c r="R161" s="12">
        <v>178.76388774267036</v>
      </c>
      <c r="S161" s="12">
        <v>178.76388774267036</v>
      </c>
      <c r="T161" t="s">
        <v>87</v>
      </c>
      <c r="U161" t="s">
        <v>26</v>
      </c>
      <c r="V161" s="336"/>
      <c r="W161" s="12"/>
      <c r="X161" s="12"/>
      <c r="Y161" s="291"/>
    </row>
    <row r="162" spans="1:25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V162" s="336"/>
      <c r="W162" s="12"/>
    </row>
    <row r="163" spans="1:25"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V163" s="336"/>
      <c r="W163" s="15"/>
    </row>
    <row r="164" spans="1:25">
      <c r="A164" s="18" t="s">
        <v>11</v>
      </c>
      <c r="C164" s="21">
        <f t="shared" ref="C164:K164" si="2">SUM(C158:C163)</f>
        <v>559089.22852896748</v>
      </c>
      <c r="D164" s="21">
        <f t="shared" si="2"/>
        <v>559089.22852896748</v>
      </c>
      <c r="E164" s="21">
        <f t="shared" si="2"/>
        <v>559089.22852896748</v>
      </c>
      <c r="F164" s="21">
        <f t="shared" si="2"/>
        <v>559089.22852896748</v>
      </c>
      <c r="G164" s="21">
        <f t="shared" si="2"/>
        <v>736175.3520437635</v>
      </c>
      <c r="H164" s="21">
        <f t="shared" si="2"/>
        <v>736175.3520437635</v>
      </c>
      <c r="I164" s="21">
        <f t="shared" si="2"/>
        <v>736175.3520437635</v>
      </c>
      <c r="J164" s="21">
        <f t="shared" si="2"/>
        <v>736175.3520437635</v>
      </c>
      <c r="K164" s="21">
        <f t="shared" si="2"/>
        <v>772822.59779149375</v>
      </c>
      <c r="L164" s="21">
        <f t="shared" ref="L164:S164" si="3">SUM(L158:L163)</f>
        <v>772822.59779149375</v>
      </c>
      <c r="M164" s="21">
        <f t="shared" si="3"/>
        <v>860186.71789612644</v>
      </c>
      <c r="N164" s="21">
        <f t="shared" si="3"/>
        <v>685245.48805147957</v>
      </c>
      <c r="O164" s="21">
        <f t="shared" si="3"/>
        <v>685245.48805147957</v>
      </c>
      <c r="P164" s="21">
        <f t="shared" si="3"/>
        <v>685245.48805147957</v>
      </c>
      <c r="Q164" s="21">
        <f t="shared" si="3"/>
        <v>637074.52676614129</v>
      </c>
      <c r="R164" s="21">
        <f t="shared" si="3"/>
        <v>862884.1901547868</v>
      </c>
      <c r="S164" s="21">
        <f t="shared" si="3"/>
        <v>862884.1901547868</v>
      </c>
      <c r="V164" s="336"/>
      <c r="W164" s="21"/>
    </row>
    <row r="165" spans="1:25">
      <c r="V165" s="336"/>
    </row>
    <row r="166" spans="1:25" ht="15" thickBot="1">
      <c r="A166" s="18" t="s">
        <v>12</v>
      </c>
      <c r="C166" s="183">
        <f t="shared" ref="C166:S166" si="4">C61+C155+C164</f>
        <v>4285637.5173024256</v>
      </c>
      <c r="D166" s="183">
        <f t="shared" si="4"/>
        <v>4127167.3094766168</v>
      </c>
      <c r="E166" s="183">
        <f t="shared" si="4"/>
        <v>4127167.3094766168</v>
      </c>
      <c r="F166" s="183">
        <f t="shared" si="4"/>
        <v>4127167.3094766163</v>
      </c>
      <c r="G166" s="183">
        <f t="shared" si="4"/>
        <v>4546481.7688900335</v>
      </c>
      <c r="H166" s="183">
        <f t="shared" si="4"/>
        <v>4283254.9302819949</v>
      </c>
      <c r="I166" s="183">
        <f t="shared" si="4"/>
        <v>4283254.9302819949</v>
      </c>
      <c r="J166" s="183">
        <f t="shared" si="4"/>
        <v>4334806.6666469984</v>
      </c>
      <c r="K166" s="183">
        <f t="shared" si="4"/>
        <v>4326044.1501903608</v>
      </c>
      <c r="L166" s="183">
        <f t="shared" si="4"/>
        <v>4271646.8937463034</v>
      </c>
      <c r="M166" s="183">
        <f t="shared" si="4"/>
        <v>4376473.9442439079</v>
      </c>
      <c r="N166" s="183">
        <f t="shared" si="4"/>
        <v>3899765.0996399405</v>
      </c>
      <c r="O166" s="183">
        <f t="shared" si="4"/>
        <v>4192794.6521918182</v>
      </c>
      <c r="P166" s="183">
        <f t="shared" si="4"/>
        <v>4233071.8352868836</v>
      </c>
      <c r="Q166" s="183">
        <f t="shared" si="4"/>
        <v>4123232.3110290947</v>
      </c>
      <c r="R166" s="183">
        <f t="shared" si="4"/>
        <v>4349041.9744177405</v>
      </c>
      <c r="S166" s="183">
        <f t="shared" si="4"/>
        <v>4308732.9498201087</v>
      </c>
      <c r="T166" s="21"/>
      <c r="V166" s="336"/>
      <c r="W166" s="21"/>
    </row>
    <row r="167" spans="1:25" ht="15" thickTop="1">
      <c r="C167" s="293" t="b">
        <v>1</v>
      </c>
      <c r="D167" s="293" t="b">
        <v>1</v>
      </c>
      <c r="E167" s="293" t="b">
        <v>1</v>
      </c>
      <c r="F167" s="293" t="b">
        <v>1</v>
      </c>
      <c r="G167" s="293" t="b">
        <v>1</v>
      </c>
      <c r="H167" s="293" t="b">
        <v>1</v>
      </c>
      <c r="I167" s="293" t="b">
        <v>1</v>
      </c>
      <c r="J167" s="293" t="b">
        <v>1</v>
      </c>
      <c r="K167" s="293" t="b">
        <v>1</v>
      </c>
      <c r="L167" s="293" t="b">
        <v>1</v>
      </c>
      <c r="M167" s="293"/>
      <c r="N167" s="293"/>
      <c r="O167" s="293"/>
      <c r="P167" s="293"/>
      <c r="Q167" s="293"/>
      <c r="R167" s="293"/>
      <c r="S167" s="293"/>
      <c r="T167" s="25"/>
      <c r="W167" s="15"/>
    </row>
    <row r="168" spans="1:25">
      <c r="L168" s="25"/>
      <c r="M168" s="25"/>
      <c r="N168" s="15"/>
      <c r="O168" s="15"/>
      <c r="P168" s="15"/>
      <c r="Q168" s="15"/>
      <c r="R168" s="15"/>
      <c r="S168" s="15"/>
      <c r="W168" s="25"/>
    </row>
    <row r="169" spans="1:25"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52"/>
      <c r="R169" s="452"/>
      <c r="S169" s="452"/>
      <c r="W169" s="15"/>
    </row>
    <row r="170" spans="1:25">
      <c r="A170" t="s">
        <v>13</v>
      </c>
      <c r="G170" s="226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W170" s="15"/>
    </row>
    <row r="171" spans="1:25">
      <c r="A171" t="s">
        <v>540</v>
      </c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R171" s="290"/>
      <c r="Y171"/>
    </row>
    <row r="172" spans="1:25">
      <c r="P172" s="23"/>
      <c r="R172" s="290"/>
      <c r="Y172"/>
    </row>
    <row r="173" spans="1:25">
      <c r="P173" s="23"/>
      <c r="R173" s="290"/>
      <c r="Y173"/>
    </row>
    <row r="174" spans="1:25">
      <c r="R174" s="290"/>
      <c r="Y174"/>
    </row>
    <row r="175" spans="1:25">
      <c r="R175" s="290"/>
      <c r="Y175"/>
    </row>
    <row r="176" spans="1:25">
      <c r="R176" s="290"/>
      <c r="Y176"/>
    </row>
    <row r="177" spans="16:25">
      <c r="R177" s="290"/>
      <c r="Y177"/>
    </row>
    <row r="178" spans="16:25">
      <c r="R178" s="290"/>
      <c r="Y178"/>
    </row>
    <row r="179" spans="16:25">
      <c r="R179" s="290"/>
      <c r="Y179"/>
    </row>
    <row r="180" spans="16:25">
      <c r="R180" s="290"/>
      <c r="Y180"/>
    </row>
    <row r="181" spans="16:25">
      <c r="R181" s="290"/>
      <c r="Y181"/>
    </row>
    <row r="182" spans="16:25">
      <c r="P182" s="23"/>
      <c r="R182" s="290"/>
      <c r="Y182"/>
    </row>
    <row r="183" spans="16:25">
      <c r="R183" s="290"/>
      <c r="Y183"/>
    </row>
    <row r="184" spans="16:25">
      <c r="R184" s="290"/>
      <c r="Y184"/>
    </row>
    <row r="185" spans="16:25">
      <c r="R185" s="290"/>
      <c r="Y185"/>
    </row>
    <row r="186" spans="16:25">
      <c r="R186" s="290"/>
      <c r="Y186"/>
    </row>
    <row r="187" spans="16:25">
      <c r="R187" s="290"/>
      <c r="Y187"/>
    </row>
  </sheetData>
  <autoFilter ref="A7:U167" xr:uid="{58C69D28-87E3-445F-89CF-C3F304F54B9A}"/>
  <sortState xmlns:xlrd2="http://schemas.microsoft.com/office/spreadsheetml/2017/richdata2" ref="A65:T155">
    <sortCondition ref="T64"/>
  </sortState>
  <conditionalFormatting sqref="B1:B11 B13:B20 B22:B32 B34 B36:B81 B83:B84 B87:B1048576">
    <cfRule type="containsText" dxfId="16" priority="12" operator="containsText" text="check">
      <formula>NOT(ISERROR(SEARCH("check",B1)))</formula>
    </cfRule>
  </conditionalFormatting>
  <conditionalFormatting sqref="B158:B161">
    <cfRule type="cellIs" dxfId="15" priority="3" operator="equal">
      <formula>"CHECK"</formula>
    </cfRule>
  </conditionalFormatting>
  <conditionalFormatting sqref="B9:S152">
    <cfRule type="cellIs" dxfId="14" priority="1" operator="equal">
      <formula>"CHECK"</formula>
    </cfRule>
  </conditionalFormatting>
  <dataValidations disablePrompts="1" count="2">
    <dataValidation type="list" allowBlank="1" showInputMessage="1" showErrorMessage="1" sqref="A2" xr:uid="{D5D48218-E623-44F2-B04D-B0D9FC5E7F8B}">
      <formula1>"Annual Period 2020,Annual Period 2021,Annual Period 2022,Annual Period 2023,Annual Period 2024, Annual Period 2025"</formula1>
    </dataValidation>
    <dataValidation type="list" allowBlank="1" showInputMessage="1" showErrorMessage="1" sqref="A3" xr:uid="{6FF49831-63F8-4D78-9DF1-E2524A91D0BB}">
      <formula1>"Reporting Date: Quarter Ended March 31,Reporting Date: Quarter Ended June 30,Reporting Date: Quarter Ended September 30,Reporting Date: Quarter Ended December 31"</formula1>
    </dataValidation>
  </dataValidations>
  <pageMargins left="0.7" right="0.7" top="0.75" bottom="0.75" header="0.3" footer="0.3"/>
  <pageSetup paperSize="5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6F18-8C03-46B1-A3A4-34B73037874F}">
  <sheetPr codeName="Sheet7">
    <pageSetUpPr autoPageBreaks="0"/>
  </sheetPr>
  <dimension ref="A1:AE195"/>
  <sheetViews>
    <sheetView zoomScale="80" zoomScaleNormal="80" workbookViewId="0"/>
  </sheetViews>
  <sheetFormatPr defaultColWidth="8.88671875" defaultRowHeight="14.4"/>
  <cols>
    <col min="1" max="1" width="95.44140625" bestFit="1" customWidth="1"/>
    <col min="2" max="2" width="39.44140625" bestFit="1" customWidth="1"/>
    <col min="3" max="3" width="38.44140625" customWidth="1"/>
    <col min="4" max="4" width="14.88671875" bestFit="1" customWidth="1"/>
    <col min="5" max="5" width="23" bestFit="1" customWidth="1"/>
    <col min="6" max="6" width="13.109375" customWidth="1"/>
    <col min="7" max="7" width="15.88671875" bestFit="1" customWidth="1"/>
    <col min="8" max="8" width="15.44140625" bestFit="1" customWidth="1"/>
    <col min="9" max="9" width="14.44140625" bestFit="1" customWidth="1"/>
    <col min="10" max="10" width="14.44140625" customWidth="1"/>
    <col min="11" max="11" width="23.44140625" style="12" customWidth="1"/>
    <col min="12" max="12" width="18.33203125" style="12" customWidth="1"/>
    <col min="13" max="13" width="11.6640625" bestFit="1" customWidth="1"/>
    <col min="14" max="14" width="10.44140625" customWidth="1"/>
    <col min="15" max="15" width="15" bestFit="1" customWidth="1"/>
    <col min="16" max="16" width="26.109375" bestFit="1" customWidth="1"/>
    <col min="17" max="17" width="14.109375" bestFit="1" customWidth="1"/>
    <col min="18" max="18" width="13.6640625" bestFit="1" customWidth="1"/>
    <col min="19" max="19" width="12.109375" bestFit="1" customWidth="1"/>
    <col min="20" max="20" width="14" customWidth="1"/>
    <col min="21" max="21" width="8.5546875" customWidth="1"/>
    <col min="22" max="22" width="14" customWidth="1"/>
    <col min="23" max="23" width="24" bestFit="1" customWidth="1"/>
    <col min="24" max="24" width="14" customWidth="1"/>
    <col min="25" max="25" width="7.6640625" bestFit="1" customWidth="1"/>
    <col min="26" max="26" width="1.44140625" customWidth="1"/>
    <col min="27" max="27" width="11.6640625" bestFit="1" customWidth="1"/>
    <col min="28" max="28" width="5.88671875" bestFit="1" customWidth="1"/>
    <col min="29" max="29" width="1.33203125" customWidth="1"/>
    <col min="30" max="30" width="11.6640625" bestFit="1" customWidth="1"/>
    <col min="31" max="31" width="5.88671875" bestFit="1" customWidth="1"/>
    <col min="32" max="33" width="9.109375" customWidth="1"/>
  </cols>
  <sheetData>
    <row r="1" spans="1:29" ht="18">
      <c r="A1" s="736" t="s">
        <v>588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</row>
    <row r="2" spans="1:29" ht="18">
      <c r="A2" s="736" t="s">
        <v>464</v>
      </c>
      <c r="B2" s="17"/>
    </row>
    <row r="3" spans="1:29" ht="18">
      <c r="A3" s="736" t="s">
        <v>585</v>
      </c>
      <c r="B3" s="17"/>
    </row>
    <row r="4" spans="1:29" ht="18">
      <c r="A4" s="736" t="s">
        <v>586</v>
      </c>
      <c r="B4" s="17"/>
    </row>
    <row r="5" spans="1:29">
      <c r="A5" s="18" t="s">
        <v>88</v>
      </c>
      <c r="B5" s="21">
        <f>'Authorized Rev Req'!S166</f>
        <v>4308732.9498201087</v>
      </c>
    </row>
    <row r="6" spans="1:29">
      <c r="A6" s="18" t="s">
        <v>89</v>
      </c>
      <c r="B6" s="424" t="str">
        <f>Summary!I2</f>
        <v>10/1/25</v>
      </c>
      <c r="G6" s="622" t="s">
        <v>536</v>
      </c>
      <c r="H6" s="622"/>
      <c r="I6" s="622"/>
    </row>
    <row r="7" spans="1:29" ht="32.25" customHeight="1">
      <c r="A7" s="560" t="s">
        <v>90</v>
      </c>
      <c r="B7" s="561"/>
      <c r="C7" s="561"/>
      <c r="D7" s="561"/>
      <c r="E7" s="561"/>
      <c r="F7" s="561"/>
      <c r="G7" s="561"/>
      <c r="H7" s="561"/>
      <c r="I7" s="561"/>
      <c r="J7" s="561"/>
      <c r="K7" s="561"/>
      <c r="L7" s="562"/>
      <c r="O7" s="557" t="s">
        <v>158</v>
      </c>
      <c r="P7" s="557"/>
      <c r="Q7" s="557"/>
      <c r="R7" s="557"/>
      <c r="S7" s="557"/>
      <c r="T7" s="557"/>
    </row>
    <row r="8" spans="1:29" ht="72" customHeight="1">
      <c r="A8" s="400" t="s">
        <v>0</v>
      </c>
      <c r="B8" s="150" t="s">
        <v>91</v>
      </c>
      <c r="C8" s="151" t="s">
        <v>4</v>
      </c>
      <c r="D8" s="151" t="s">
        <v>122</v>
      </c>
      <c r="E8" s="151" t="s">
        <v>1</v>
      </c>
      <c r="F8" s="631" t="s">
        <v>123</v>
      </c>
      <c r="G8" s="631"/>
      <c r="H8" s="631"/>
      <c r="I8" s="631"/>
      <c r="J8" s="631"/>
      <c r="K8" s="151" t="s">
        <v>92</v>
      </c>
      <c r="L8" s="401"/>
      <c r="O8" s="19"/>
      <c r="P8" s="31">
        <v>2025</v>
      </c>
      <c r="Q8" s="31">
        <v>2026</v>
      </c>
      <c r="R8" s="31">
        <v>2027</v>
      </c>
      <c r="S8" s="31">
        <v>2028</v>
      </c>
      <c r="T8" s="31">
        <v>2029</v>
      </c>
    </row>
    <row r="9" spans="1:29">
      <c r="A9" s="400" t="s">
        <v>2</v>
      </c>
      <c r="B9" s="19"/>
      <c r="C9" s="19"/>
      <c r="D9" s="490" t="str">
        <f>B6</f>
        <v>10/1/25</v>
      </c>
      <c r="E9" s="150"/>
      <c r="F9" s="150">
        <v>2025</v>
      </c>
      <c r="G9" s="150">
        <v>2026</v>
      </c>
      <c r="H9" s="150">
        <v>2027</v>
      </c>
      <c r="I9" s="150">
        <v>2028</v>
      </c>
      <c r="J9" s="150">
        <v>2029</v>
      </c>
      <c r="K9" s="491"/>
      <c r="L9" s="492"/>
      <c r="M9" s="75"/>
      <c r="N9" s="75"/>
      <c r="O9" s="75" t="s">
        <v>3</v>
      </c>
      <c r="P9" s="74">
        <f t="shared" ref="P9:P22" si="0">SUMIF($E$10:$E$84,O9,$F$10:$F$84)</f>
        <v>601659.58027638542</v>
      </c>
      <c r="Q9" s="74">
        <f t="shared" ref="Q9:Q22" si="1">SUMIF($E$10:$E$84,O9,$G$10:$G$84)</f>
        <v>608729.58364338533</v>
      </c>
      <c r="R9" s="74">
        <f t="shared" ref="R9:R22" si="2">SUMIF($E$10:$E$84,O9,$H$10:$H$84)</f>
        <v>630874.29946765443</v>
      </c>
      <c r="S9" s="74">
        <f t="shared" ref="S9:S22" si="3">SUMIF($E$10:$E$84,O9,$I$10:$I$84)</f>
        <v>630874.30286282569</v>
      </c>
      <c r="T9" s="74">
        <f t="shared" ref="T9:T22" si="4">SUMIF($E$10:$E$84,O9,$J$10:$J$84)</f>
        <v>630708.1540856926</v>
      </c>
    </row>
    <row r="10" spans="1:29">
      <c r="A10" s="608" t="s">
        <v>93</v>
      </c>
      <c r="B10" s="608"/>
      <c r="C10" s="612" t="str">
        <f>'Authorized Rev Req'!B9</f>
        <v>D.24-10-008, D.24-12-074, AL 4553-E</v>
      </c>
      <c r="D10" s="612">
        <f t="shared" ref="D10:D25" si="5">F10</f>
        <v>2016576.1387274999</v>
      </c>
      <c r="E10" s="608" t="str">
        <f>'Authorized Rev Req'!T9</f>
        <v>Distribution</v>
      </c>
      <c r="F10" s="612">
        <f>'Authorized Rev Req'!S9</f>
        <v>2016576.1387274999</v>
      </c>
      <c r="G10" s="617">
        <v>2117285.7541</v>
      </c>
      <c r="H10" s="612">
        <v>2207239.5701054996</v>
      </c>
      <c r="I10" s="612">
        <f>H10</f>
        <v>2207239.5701054996</v>
      </c>
      <c r="J10" s="612">
        <f>I10</f>
        <v>2207239.5701054996</v>
      </c>
      <c r="K10" s="609" t="s">
        <v>94</v>
      </c>
      <c r="L10" s="612"/>
      <c r="M10" s="613"/>
      <c r="N10" s="425"/>
      <c r="O10" s="75" t="s">
        <v>389</v>
      </c>
      <c r="P10" s="74">
        <f t="shared" si="0"/>
        <v>80.182302790146849</v>
      </c>
      <c r="Q10" s="74">
        <f t="shared" si="1"/>
        <v>80.182302790146849</v>
      </c>
      <c r="R10" s="74">
        <f t="shared" si="2"/>
        <v>80.182302790146849</v>
      </c>
      <c r="S10" s="74">
        <f t="shared" si="3"/>
        <v>80.182302790146849</v>
      </c>
      <c r="T10" s="74">
        <f t="shared" si="4"/>
        <v>80.182302790146849</v>
      </c>
      <c r="U10" s="25"/>
      <c r="AC10" s="25"/>
    </row>
    <row r="11" spans="1:29" ht="16.5" customHeight="1">
      <c r="A11" s="608" t="s">
        <v>93</v>
      </c>
      <c r="B11" s="608"/>
      <c r="C11" s="612" t="str">
        <f>'Authorized Rev Req'!B10</f>
        <v>D.24-10-008, D.24-12-074, AL 4553-E</v>
      </c>
      <c r="D11" s="612">
        <f t="shared" si="5"/>
        <v>218153.07271800001</v>
      </c>
      <c r="E11" s="608" t="str">
        <f>'Authorized Rev Req'!T10</f>
        <v>Generation</v>
      </c>
      <c r="F11" s="612">
        <f>'Authorized Rev Req'!S10</f>
        <v>218153.07271800001</v>
      </c>
      <c r="G11" s="617">
        <v>225397.91988000003</v>
      </c>
      <c r="H11" s="612">
        <v>233033.45254699999</v>
      </c>
      <c r="I11" s="612">
        <f t="shared" ref="H11:I22" si="6">H11</f>
        <v>233033.45254699999</v>
      </c>
      <c r="J11" s="612">
        <f t="shared" ref="J11:J81" si="7">I11</f>
        <v>233033.45254699999</v>
      </c>
      <c r="K11" s="609" t="s">
        <v>94</v>
      </c>
      <c r="L11" s="612"/>
      <c r="M11" s="613"/>
      <c r="N11" s="425"/>
      <c r="O11" s="75" t="s">
        <v>59</v>
      </c>
      <c r="P11" s="74">
        <f t="shared" si="0"/>
        <v>111028.10550104988</v>
      </c>
      <c r="Q11" s="74">
        <f t="shared" si="1"/>
        <v>111028.10550104988</v>
      </c>
      <c r="R11" s="74">
        <f t="shared" si="2"/>
        <v>111028.10550104988</v>
      </c>
      <c r="S11" s="74">
        <f t="shared" si="3"/>
        <v>111028.10550104988</v>
      </c>
      <c r="T11" s="74">
        <f t="shared" si="4"/>
        <v>111028.10550104988</v>
      </c>
      <c r="U11" s="25"/>
    </row>
    <row r="12" spans="1:29">
      <c r="A12" s="608" t="s">
        <v>381</v>
      </c>
      <c r="B12" s="608"/>
      <c r="C12" s="609" t="str">
        <f>'Authorized Rev Req'!B57</f>
        <v>D.24-07-013, AL 4507-E/3345-G, AL 4588-E</v>
      </c>
      <c r="D12" s="612">
        <f>F12</f>
        <v>99794.80313630063</v>
      </c>
      <c r="E12" s="608" t="str">
        <f>'Authorized Rev Req'!T56</f>
        <v>Distribution</v>
      </c>
      <c r="F12" s="609">
        <f>'Authorized Rev Req'!S56</f>
        <v>99794.80313630063</v>
      </c>
      <c r="G12" s="342"/>
      <c r="H12" s="25"/>
      <c r="I12" s="25"/>
      <c r="J12" s="612">
        <f>I12</f>
        <v>0</v>
      </c>
      <c r="K12" s="609" t="s">
        <v>94</v>
      </c>
      <c r="L12" s="609"/>
      <c r="M12" s="613"/>
      <c r="N12" s="425"/>
      <c r="O12" s="75" t="s">
        <v>5</v>
      </c>
      <c r="P12" s="74">
        <f t="shared" si="0"/>
        <v>2649676.4462597398</v>
      </c>
      <c r="Q12" s="74">
        <f t="shared" si="1"/>
        <v>2647437.5266681653</v>
      </c>
      <c r="R12" s="74">
        <f t="shared" si="2"/>
        <v>2536353.6519705639</v>
      </c>
      <c r="S12" s="74">
        <f t="shared" si="3"/>
        <v>2534783.855246901</v>
      </c>
      <c r="T12" s="74">
        <f t="shared" si="4"/>
        <v>2526646.4734389815</v>
      </c>
      <c r="U12" s="25"/>
    </row>
    <row r="13" spans="1:29">
      <c r="A13" s="608" t="s">
        <v>378</v>
      </c>
      <c r="B13" s="608"/>
      <c r="C13" s="612" t="str">
        <f>'Authorized Rev Req'!B18</f>
        <v>D.24-12-040, AL 4588-E</v>
      </c>
      <c r="D13" s="612">
        <f t="shared" si="5"/>
        <v>464895.44433890504</v>
      </c>
      <c r="E13" s="608" t="str">
        <f>'Authorized Rev Req'!T18</f>
        <v>Generation</v>
      </c>
      <c r="F13" s="612">
        <f>'Authorized Rev Req'!S18</f>
        <v>464895.44433890504</v>
      </c>
      <c r="G13" s="612">
        <f>F13</f>
        <v>464895.44433890504</v>
      </c>
      <c r="H13" s="612">
        <f t="shared" si="6"/>
        <v>464895.44433890504</v>
      </c>
      <c r="I13" s="612">
        <f t="shared" si="6"/>
        <v>464895.44433890504</v>
      </c>
      <c r="J13" s="612">
        <f t="shared" si="7"/>
        <v>464895.44433890504</v>
      </c>
      <c r="K13" s="609" t="s">
        <v>94</v>
      </c>
      <c r="L13" s="612"/>
      <c r="M13" s="613"/>
      <c r="N13" s="425"/>
      <c r="O13" s="75" t="s">
        <v>98</v>
      </c>
      <c r="P13" s="74">
        <f t="shared" si="0"/>
        <v>-246532.22998150348</v>
      </c>
      <c r="Q13" s="74">
        <f t="shared" si="1"/>
        <v>-246532.22998150348</v>
      </c>
      <c r="R13" s="74">
        <f t="shared" si="2"/>
        <v>-246532.22998150348</v>
      </c>
      <c r="S13" s="74">
        <f t="shared" si="3"/>
        <v>-246532.22998150348</v>
      </c>
      <c r="T13" s="74">
        <f t="shared" si="4"/>
        <v>-246532.22998150348</v>
      </c>
      <c r="U13" s="25"/>
    </row>
    <row r="14" spans="1:29">
      <c r="A14" s="608" t="s">
        <v>14</v>
      </c>
      <c r="B14" s="608"/>
      <c r="C14" s="612" t="str">
        <f>'Authorized Rev Req'!B41</f>
        <v>D.24-12-040</v>
      </c>
      <c r="D14" s="612">
        <f t="shared" si="5"/>
        <v>2311.0350881632939</v>
      </c>
      <c r="E14" s="608" t="str">
        <f>'Authorized Rev Req'!T41</f>
        <v>CTC</v>
      </c>
      <c r="F14" s="612">
        <f>'Authorized Rev Req'!S41</f>
        <v>2311.0350881632939</v>
      </c>
      <c r="G14" s="612">
        <f t="shared" ref="G14:G22" si="8">F14</f>
        <v>2311.0350881632939</v>
      </c>
      <c r="H14" s="612">
        <f t="shared" si="6"/>
        <v>2311.0350881632939</v>
      </c>
      <c r="I14" s="612">
        <f t="shared" si="6"/>
        <v>2311.0350881632939</v>
      </c>
      <c r="J14" s="612">
        <f t="shared" si="7"/>
        <v>2311.0350881632939</v>
      </c>
      <c r="K14" s="609" t="s">
        <v>94</v>
      </c>
      <c r="L14" s="612"/>
      <c r="M14" s="613"/>
      <c r="N14" s="425"/>
      <c r="O14" s="75" t="s">
        <v>14</v>
      </c>
      <c r="P14" s="74">
        <f t="shared" si="0"/>
        <v>5662.2347651632936</v>
      </c>
      <c r="Q14" s="74">
        <f t="shared" si="1"/>
        <v>5662.2347651632936</v>
      </c>
      <c r="R14" s="74">
        <f t="shared" si="2"/>
        <v>5662.2347651632936</v>
      </c>
      <c r="S14" s="74">
        <f t="shared" si="3"/>
        <v>5662.2347651632936</v>
      </c>
      <c r="T14" s="74">
        <f t="shared" si="4"/>
        <v>5662.2347651632936</v>
      </c>
      <c r="U14" s="25"/>
    </row>
    <row r="15" spans="1:29">
      <c r="A15" s="608" t="s">
        <v>59</v>
      </c>
      <c r="B15" s="608"/>
      <c r="C15" s="612" t="str">
        <f>'Authorized Rev Req'!B43</f>
        <v>D.24-12-040, AL 4588-E</v>
      </c>
      <c r="D15" s="612">
        <f t="shared" si="5"/>
        <v>194547.97944908033</v>
      </c>
      <c r="E15" s="608" t="str">
        <f>'Authorized Rev Req'!T43</f>
        <v>LGC</v>
      </c>
      <c r="F15" s="612">
        <f>'Authorized Rev Req'!S43</f>
        <v>194547.97944908033</v>
      </c>
      <c r="G15" s="612">
        <f t="shared" si="8"/>
        <v>194547.97944908033</v>
      </c>
      <c r="H15" s="612">
        <f t="shared" si="6"/>
        <v>194547.97944908033</v>
      </c>
      <c r="I15" s="612">
        <f t="shared" si="6"/>
        <v>194547.97944908033</v>
      </c>
      <c r="J15" s="612">
        <f t="shared" si="7"/>
        <v>194547.97944908033</v>
      </c>
      <c r="K15" s="609" t="s">
        <v>94</v>
      </c>
      <c r="L15" s="612"/>
      <c r="M15" s="613"/>
      <c r="N15" s="425"/>
      <c r="O15" s="75" t="s">
        <v>80</v>
      </c>
      <c r="P15" s="74">
        <f t="shared" si="0"/>
        <v>211.66537700000001</v>
      </c>
      <c r="Q15" s="74">
        <f t="shared" si="1"/>
        <v>211.66537700000001</v>
      </c>
      <c r="R15" s="74">
        <f t="shared" si="2"/>
        <v>211.66537700000001</v>
      </c>
      <c r="S15" s="74">
        <f t="shared" si="3"/>
        <v>211.66537700000001</v>
      </c>
      <c r="T15" s="74">
        <f t="shared" si="4"/>
        <v>211.66537700000001</v>
      </c>
      <c r="U15" s="25"/>
    </row>
    <row r="16" spans="1:29">
      <c r="A16" s="608" t="s">
        <v>95</v>
      </c>
      <c r="B16" s="608"/>
      <c r="C16" s="25" t="str">
        <f>'Authorized Rev Req'!B45</f>
        <v>D.24-08-001, D.24-12-040</v>
      </c>
      <c r="D16" s="612">
        <f t="shared" si="5"/>
        <v>0</v>
      </c>
      <c r="E16" s="608" t="str">
        <f>'Authorized Rev Req'!T45</f>
        <v>ND</v>
      </c>
      <c r="F16" s="25">
        <f>'Authorized Rev Req'!S45</f>
        <v>0</v>
      </c>
      <c r="G16" s="612">
        <f t="shared" si="8"/>
        <v>0</v>
      </c>
      <c r="H16" s="612">
        <f t="shared" si="6"/>
        <v>0</v>
      </c>
      <c r="I16" s="612">
        <f t="shared" si="6"/>
        <v>0</v>
      </c>
      <c r="J16" s="612">
        <f t="shared" si="7"/>
        <v>0</v>
      </c>
      <c r="K16" s="609" t="s">
        <v>94</v>
      </c>
      <c r="L16" s="342"/>
      <c r="M16" s="613"/>
      <c r="N16" s="425"/>
      <c r="O16" s="76" t="s">
        <v>100</v>
      </c>
      <c r="P16" s="74">
        <f t="shared" si="0"/>
        <v>398175.74160000001</v>
      </c>
      <c r="Q16" s="74">
        <f t="shared" si="1"/>
        <v>396802.12067964236</v>
      </c>
      <c r="R16" s="74">
        <f t="shared" si="2"/>
        <v>381330.28032519302</v>
      </c>
      <c r="S16" s="74">
        <f t="shared" si="3"/>
        <v>357549.615725193</v>
      </c>
      <c r="T16" s="74">
        <f t="shared" si="4"/>
        <v>357549.615725193</v>
      </c>
      <c r="U16" s="25"/>
    </row>
    <row r="17" spans="1:29">
      <c r="A17" s="608" t="s">
        <v>96</v>
      </c>
      <c r="B17" s="608"/>
      <c r="C17" s="612" t="s">
        <v>581</v>
      </c>
      <c r="D17" s="612">
        <f t="shared" si="5"/>
        <v>1595.085975</v>
      </c>
      <c r="E17" s="608" t="str">
        <f>'Authorized Rev Req'!T38</f>
        <v>Generation</v>
      </c>
      <c r="F17" s="612">
        <f>'Authorized Rev Req'!S38</f>
        <v>1595.085975</v>
      </c>
      <c r="G17" s="612">
        <v>1420.24218</v>
      </c>
      <c r="H17" s="612">
        <f t="shared" si="6"/>
        <v>1420.24218</v>
      </c>
      <c r="I17" s="612">
        <f t="shared" si="6"/>
        <v>1420.24218</v>
      </c>
      <c r="J17" s="612">
        <f t="shared" si="7"/>
        <v>1420.24218</v>
      </c>
      <c r="K17" s="609" t="s">
        <v>94</v>
      </c>
      <c r="L17" s="612"/>
      <c r="M17" s="613"/>
      <c r="N17" s="425"/>
      <c r="O17" s="75" t="s">
        <v>97</v>
      </c>
      <c r="P17" s="74">
        <f t="shared" si="0"/>
        <v>0</v>
      </c>
      <c r="Q17" s="74">
        <f t="shared" si="1"/>
        <v>0</v>
      </c>
      <c r="R17" s="74">
        <f t="shared" si="2"/>
        <v>0</v>
      </c>
      <c r="S17" s="74">
        <f t="shared" si="3"/>
        <v>0</v>
      </c>
      <c r="T17" s="74">
        <f t="shared" si="4"/>
        <v>0</v>
      </c>
      <c r="U17" s="25"/>
    </row>
    <row r="18" spans="1:29">
      <c r="A18" s="608" t="s">
        <v>225</v>
      </c>
      <c r="B18" s="608"/>
      <c r="C18" s="25" t="str">
        <f>'Authorized Rev Req'!B48</f>
        <v>D.24-12-001</v>
      </c>
      <c r="D18" s="612">
        <f t="shared" si="5"/>
        <v>91816.684925380512</v>
      </c>
      <c r="E18" s="608" t="str">
        <f>'Authorized Rev Req'!T48</f>
        <v>Wildfire Fund NBC</v>
      </c>
      <c r="F18" s="25">
        <f>'Authorized Rev Req'!S48</f>
        <v>91816.684925380512</v>
      </c>
      <c r="G18" s="612">
        <f t="shared" si="8"/>
        <v>91816.684925380512</v>
      </c>
      <c r="H18" s="25">
        <f t="shared" si="6"/>
        <v>91816.684925380512</v>
      </c>
      <c r="I18" s="612">
        <f t="shared" si="6"/>
        <v>91816.684925380512</v>
      </c>
      <c r="J18" s="612">
        <f t="shared" si="7"/>
        <v>91816.684925380512</v>
      </c>
      <c r="K18" s="609" t="s">
        <v>94</v>
      </c>
      <c r="L18" s="342"/>
      <c r="M18" s="613"/>
      <c r="N18" s="425"/>
      <c r="O18" s="75" t="s">
        <v>256</v>
      </c>
      <c r="P18" s="74">
        <f t="shared" si="0"/>
        <v>-165929.65136068387</v>
      </c>
      <c r="Q18" s="74">
        <f t="shared" si="1"/>
        <v>-165929.65136068387</v>
      </c>
      <c r="R18" s="74">
        <f t="shared" si="2"/>
        <v>-185769.51988149245</v>
      </c>
      <c r="S18" s="74">
        <f t="shared" si="3"/>
        <v>-185769.51988149245</v>
      </c>
      <c r="T18" s="74">
        <f t="shared" si="4"/>
        <v>-185769.51988149245</v>
      </c>
      <c r="U18" s="25"/>
    </row>
    <row r="19" spans="1:29">
      <c r="A19" s="608" t="s">
        <v>324</v>
      </c>
      <c r="B19" s="608"/>
      <c r="C19" s="25" t="str">
        <f>'Authorized Rev Req'!B21</f>
        <v>D.24-12-040, D.24-12-074 D.24-10-008, AL 4553-E, AL 4588-E</v>
      </c>
      <c r="D19" s="612">
        <f t="shared" si="5"/>
        <v>-66097.75023491781</v>
      </c>
      <c r="E19" s="608" t="str">
        <f>'Authorized Rev Req'!T21</f>
        <v>Generation</v>
      </c>
      <c r="F19" s="25">
        <f>'Authorized Rev Req'!S21</f>
        <v>-66097.75023491781</v>
      </c>
      <c r="G19" s="612">
        <f t="shared" si="8"/>
        <v>-66097.75023491781</v>
      </c>
      <c r="H19" s="612">
        <f t="shared" si="6"/>
        <v>-66097.75023491781</v>
      </c>
      <c r="I19" s="612">
        <f t="shared" si="6"/>
        <v>-66097.75023491781</v>
      </c>
      <c r="J19" s="612">
        <f t="shared" si="7"/>
        <v>-66097.75023491781</v>
      </c>
      <c r="K19" s="609" t="s">
        <v>94</v>
      </c>
      <c r="L19" s="342"/>
      <c r="M19" s="613"/>
      <c r="N19" s="425"/>
      <c r="O19" s="75" t="s">
        <v>10</v>
      </c>
      <c r="P19" s="74">
        <f t="shared" si="0"/>
        <v>862705.42626704415</v>
      </c>
      <c r="Q19" s="74">
        <f t="shared" si="1"/>
        <v>862705.42626704415</v>
      </c>
      <c r="R19" s="74">
        <f t="shared" si="2"/>
        <v>862705.42626704415</v>
      </c>
      <c r="S19" s="74">
        <f t="shared" si="3"/>
        <v>862705.42626704415</v>
      </c>
      <c r="T19" s="74">
        <f t="shared" si="4"/>
        <v>862705.42626704415</v>
      </c>
      <c r="U19" s="25"/>
    </row>
    <row r="20" spans="1:29">
      <c r="A20" s="608" t="s">
        <v>327</v>
      </c>
      <c r="B20" s="608"/>
      <c r="C20" s="25" t="str">
        <f>'Authorized Rev Req'!B26</f>
        <v>D.24-12-040, AL 4588-E, Resolution E-5217</v>
      </c>
      <c r="D20" s="612">
        <f t="shared" si="5"/>
        <v>-3939.3649907225172</v>
      </c>
      <c r="E20" s="608" t="str">
        <f>'Authorized Rev Req'!T26</f>
        <v>PCIA</v>
      </c>
      <c r="F20" s="25">
        <f>'Authorized Rev Req'!S26</f>
        <v>-3939.3649907225172</v>
      </c>
      <c r="G20" s="612">
        <f t="shared" si="8"/>
        <v>-3939.3649907225172</v>
      </c>
      <c r="H20" s="612">
        <f t="shared" si="6"/>
        <v>-3939.3649907225172</v>
      </c>
      <c r="I20" s="612">
        <f t="shared" si="6"/>
        <v>-3939.3649907225172</v>
      </c>
      <c r="J20" s="612">
        <f t="shared" si="7"/>
        <v>-3939.3649907225172</v>
      </c>
      <c r="K20" s="609" t="s">
        <v>94</v>
      </c>
      <c r="L20" s="342"/>
      <c r="M20" s="613"/>
      <c r="N20" s="425"/>
      <c r="O20" s="75" t="s">
        <v>87</v>
      </c>
      <c r="P20" s="74">
        <f t="shared" si="0"/>
        <v>178.76388774267036</v>
      </c>
      <c r="Q20" s="74">
        <f t="shared" si="1"/>
        <v>178.76388774267036</v>
      </c>
      <c r="R20" s="74">
        <f t="shared" si="2"/>
        <v>178.76388774267036</v>
      </c>
      <c r="S20" s="74">
        <f t="shared" si="3"/>
        <v>178.76388774267036</v>
      </c>
      <c r="T20" s="74">
        <f t="shared" si="4"/>
        <v>178.76388774267036</v>
      </c>
      <c r="U20" s="25"/>
    </row>
    <row r="21" spans="1:29">
      <c r="A21" s="608" t="s">
        <v>389</v>
      </c>
      <c r="B21" s="608"/>
      <c r="C21" s="25" t="str">
        <f>'Authorized Rev Req'!B55</f>
        <v>D.24-12-040, AL 4588-E</v>
      </c>
      <c r="D21" s="612">
        <f t="shared" si="5"/>
        <v>80.182302790146849</v>
      </c>
      <c r="E21" s="608" t="str">
        <f>'Authorized Rev Req'!T55</f>
        <v>MCAM</v>
      </c>
      <c r="F21" s="25">
        <f>'Authorized Rev Req'!S55</f>
        <v>80.182302790146849</v>
      </c>
      <c r="G21" s="612">
        <f t="shared" si="8"/>
        <v>80.182302790146849</v>
      </c>
      <c r="H21" s="612">
        <f t="shared" si="6"/>
        <v>80.182302790146849</v>
      </c>
      <c r="I21" s="612">
        <f t="shared" si="6"/>
        <v>80.182302790146849</v>
      </c>
      <c r="J21" s="612">
        <f t="shared" si="7"/>
        <v>80.182302790146849</v>
      </c>
      <c r="K21" s="609" t="s">
        <v>94</v>
      </c>
      <c r="L21" s="342"/>
      <c r="M21" s="613"/>
      <c r="N21" s="425"/>
      <c r="O21" s="75" t="s">
        <v>78</v>
      </c>
      <c r="P21" s="74">
        <f t="shared" si="0"/>
        <v>0</v>
      </c>
      <c r="Q21" s="74">
        <f t="shared" si="1"/>
        <v>0</v>
      </c>
      <c r="R21" s="74">
        <f t="shared" si="2"/>
        <v>0</v>
      </c>
      <c r="S21" s="74">
        <f t="shared" si="3"/>
        <v>0</v>
      </c>
      <c r="T21" s="74">
        <f t="shared" si="4"/>
        <v>0</v>
      </c>
      <c r="U21" s="25"/>
    </row>
    <row r="22" spans="1:29">
      <c r="A22" s="608" t="s">
        <v>428</v>
      </c>
      <c r="B22" s="608"/>
      <c r="C22" s="25" t="str">
        <f>'Authorized Rev Req'!B30</f>
        <v>D.24-12-040, AL 4588-E, Resolution E-5217</v>
      </c>
      <c r="D22" s="612">
        <f t="shared" si="5"/>
        <v>7369.6605196006794</v>
      </c>
      <c r="E22" s="608" t="str">
        <f>'Authorized Rev Req'!T30</f>
        <v>PCIA</v>
      </c>
      <c r="F22" s="25">
        <f>'Authorized Rev Req'!S30</f>
        <v>7369.6605196006794</v>
      </c>
      <c r="G22" s="612">
        <f t="shared" si="8"/>
        <v>7369.6605196006794</v>
      </c>
      <c r="H22" s="612">
        <f t="shared" si="6"/>
        <v>7369.6605196006794</v>
      </c>
      <c r="I22" s="612">
        <f t="shared" si="6"/>
        <v>7369.6605196006794</v>
      </c>
      <c r="J22" s="612">
        <f t="shared" si="7"/>
        <v>7369.6605196006794</v>
      </c>
      <c r="K22" s="609" t="s">
        <v>94</v>
      </c>
      <c r="L22" s="608"/>
      <c r="M22" s="613"/>
      <c r="N22" s="425"/>
      <c r="O22" s="75" t="s">
        <v>225</v>
      </c>
      <c r="P22" s="74">
        <f t="shared" si="0"/>
        <v>91816.684925380512</v>
      </c>
      <c r="Q22" s="74">
        <f t="shared" si="1"/>
        <v>91816.684925380512</v>
      </c>
      <c r="R22" s="74">
        <f t="shared" si="2"/>
        <v>91816.684925380512</v>
      </c>
      <c r="S22" s="74">
        <f t="shared" si="3"/>
        <v>91816.684925380512</v>
      </c>
      <c r="T22" s="74">
        <f t="shared" si="4"/>
        <v>91816.684925380512</v>
      </c>
      <c r="U22" s="25"/>
    </row>
    <row r="23" spans="1:29">
      <c r="A23" s="608" t="s">
        <v>27</v>
      </c>
      <c r="B23" s="608"/>
      <c r="C23" s="25" t="str">
        <f>'Authorized Rev Req'!B32</f>
        <v>D.24-06-003</v>
      </c>
      <c r="D23" s="612">
        <f t="shared" si="5"/>
        <v>36482.420390634747</v>
      </c>
      <c r="E23" s="614" t="str">
        <f>'Authorized Rev Req'!T32</f>
        <v>Distribution</v>
      </c>
      <c r="F23" s="25">
        <f>'Authorized Rev Req'!S32</f>
        <v>36482.420390634747</v>
      </c>
      <c r="G23" s="612">
        <v>36596.138794175</v>
      </c>
      <c r="H23" s="612"/>
      <c r="I23" s="612"/>
      <c r="J23" s="612"/>
      <c r="K23" s="609" t="s">
        <v>94</v>
      </c>
      <c r="L23" s="615"/>
      <c r="M23" s="613"/>
      <c r="N23" s="425"/>
      <c r="O23" t="s">
        <v>113</v>
      </c>
      <c r="P23" s="12">
        <f>SUM(P9:P22)</f>
        <v>4308732.9498201078</v>
      </c>
      <c r="Q23" s="12">
        <f>SUM(Q9:Q22)</f>
        <v>4312190.4126751758</v>
      </c>
      <c r="R23" s="12">
        <f>SUM(R9:R22)</f>
        <v>4187939.5449265856</v>
      </c>
      <c r="S23" s="12">
        <f>SUM(S9:S22)</f>
        <v>4162589.0869980943</v>
      </c>
      <c r="T23" s="12">
        <f>SUM(T9:T22)</f>
        <v>4154285.5564130414</v>
      </c>
      <c r="U23" s="25"/>
      <c r="V23" s="12"/>
      <c r="W23" s="12"/>
      <c r="X23" s="12"/>
      <c r="Y23" s="12"/>
      <c r="Z23" s="12"/>
      <c r="AA23" s="12"/>
      <c r="AB23" s="12"/>
    </row>
    <row r="24" spans="1:29">
      <c r="A24" s="608" t="s">
        <v>337</v>
      </c>
      <c r="B24" s="608" t="s">
        <v>338</v>
      </c>
      <c r="C24" s="25" t="s">
        <v>443</v>
      </c>
      <c r="D24" s="612">
        <f t="shared" si="5"/>
        <v>637.5244889999999</v>
      </c>
      <c r="E24" s="608" t="str">
        <f>'Authorized Rev Req'!T57</f>
        <v>Distribution</v>
      </c>
      <c r="F24" s="25">
        <f>'Authorized Rev Req'!S57</f>
        <v>637.5244889999999</v>
      </c>
      <c r="G24" s="616">
        <v>619.72225000000003</v>
      </c>
      <c r="H24" s="187">
        <v>602.71138900000005</v>
      </c>
      <c r="I24" s="608"/>
      <c r="J24" s="612">
        <f t="shared" si="7"/>
        <v>0</v>
      </c>
      <c r="K24" s="609" t="s">
        <v>94</v>
      </c>
      <c r="L24" s="615"/>
      <c r="M24" s="613"/>
      <c r="N24" s="425"/>
      <c r="O24" s="75" t="s">
        <v>250</v>
      </c>
      <c r="P24" s="233">
        <f>'Sales Allocations &amp; CCC'!S3</f>
        <v>8.0000000000000004E-4</v>
      </c>
      <c r="U24" s="25"/>
      <c r="V24" s="12"/>
      <c r="W24" s="12"/>
      <c r="X24" s="12"/>
      <c r="Y24" s="12"/>
      <c r="Z24" s="12"/>
      <c r="AA24" s="12"/>
      <c r="AB24" s="12"/>
      <c r="AC24" s="12"/>
    </row>
    <row r="25" spans="1:29">
      <c r="A25" s="608" t="s">
        <v>468</v>
      </c>
      <c r="B25" s="608"/>
      <c r="C25" s="609" t="str">
        <f>'Authorized Rev Req'!B72</f>
        <v>AL 4511-E/3342-G</v>
      </c>
      <c r="D25" s="612">
        <f t="shared" si="5"/>
        <v>1911.1177514729998</v>
      </c>
      <c r="E25" s="608" t="str">
        <f>'Authorized Rev Req'!T72</f>
        <v>Distribution</v>
      </c>
      <c r="F25" s="609">
        <f>'Authorized Rev Req'!S72</f>
        <v>1911.1177514729998</v>
      </c>
      <c r="G25" s="612"/>
      <c r="H25" s="612"/>
      <c r="I25" s="612"/>
      <c r="J25" s="612"/>
      <c r="K25" s="609" t="s">
        <v>94</v>
      </c>
      <c r="L25" s="609"/>
      <c r="M25" s="613"/>
      <c r="N25" s="425"/>
      <c r="O25" s="220"/>
      <c r="P25" s="221"/>
      <c r="Q25" s="221"/>
      <c r="R25" s="221"/>
      <c r="S25" s="221"/>
      <c r="T25" s="221"/>
      <c r="V25" s="26"/>
      <c r="W25" s="26"/>
      <c r="X25" s="26"/>
      <c r="Y25" s="26"/>
      <c r="Z25" s="26"/>
      <c r="AA25" s="26"/>
      <c r="AB25" s="26"/>
      <c r="AC25" s="26"/>
    </row>
    <row r="26" spans="1:29">
      <c r="A26" s="608" t="s">
        <v>521</v>
      </c>
      <c r="B26" s="608"/>
      <c r="C26" s="608" t="s">
        <v>582</v>
      </c>
      <c r="D26" s="612">
        <f>F26</f>
        <v>0</v>
      </c>
      <c r="E26" s="608" t="s">
        <v>5</v>
      </c>
      <c r="F26" s="187"/>
      <c r="G26" s="342">
        <v>-170.28840541903458</v>
      </c>
      <c r="H26" s="25"/>
      <c r="I26" s="25"/>
      <c r="J26" s="25"/>
      <c r="K26" s="609" t="s">
        <v>492</v>
      </c>
      <c r="L26" s="615"/>
      <c r="M26" s="613"/>
      <c r="N26" s="425"/>
      <c r="V26" s="23"/>
      <c r="W26" s="23"/>
      <c r="X26" s="23"/>
      <c r="Y26" s="23"/>
      <c r="Z26" s="23"/>
      <c r="AA26" s="23"/>
      <c r="AB26" s="23"/>
      <c r="AC26" s="23"/>
    </row>
    <row r="27" spans="1:29">
      <c r="A27" s="608"/>
      <c r="B27" s="608"/>
      <c r="C27" s="608"/>
      <c r="D27" s="608"/>
      <c r="E27" s="608"/>
      <c r="F27" s="608"/>
      <c r="G27" s="608"/>
      <c r="H27" s="608"/>
      <c r="I27" s="608"/>
      <c r="J27" s="608"/>
      <c r="K27" s="609"/>
      <c r="L27" s="609"/>
      <c r="M27" s="608"/>
      <c r="N27" s="425"/>
      <c r="V27" s="23"/>
      <c r="W27" s="23"/>
      <c r="X27" s="23"/>
      <c r="Y27" s="23"/>
      <c r="Z27" s="23"/>
      <c r="AA27" s="23"/>
      <c r="AB27" s="23"/>
      <c r="AC27" s="23"/>
    </row>
    <row r="28" spans="1:29">
      <c r="A28" s="608"/>
      <c r="B28" s="608"/>
      <c r="C28" s="608"/>
      <c r="D28" s="617"/>
      <c r="E28" s="608"/>
      <c r="F28" s="184"/>
      <c r="G28" s="612"/>
      <c r="H28" s="612"/>
      <c r="I28" s="612"/>
      <c r="J28" s="612"/>
      <c r="K28" s="609"/>
      <c r="L28" s="615"/>
      <c r="M28" s="613"/>
      <c r="N28" s="425"/>
      <c r="V28" s="23"/>
      <c r="W28" s="23"/>
      <c r="X28" s="23"/>
      <c r="Y28" s="23"/>
      <c r="Z28" s="23"/>
      <c r="AA28" s="23"/>
      <c r="AB28" s="23"/>
      <c r="AC28" s="23"/>
    </row>
    <row r="29" spans="1:29">
      <c r="A29" s="608"/>
      <c r="B29" s="608"/>
      <c r="C29" s="25"/>
      <c r="D29" s="612"/>
      <c r="E29" s="618"/>
      <c r="F29" s="25"/>
      <c r="G29" s="612"/>
      <c r="H29" s="612"/>
      <c r="I29" s="612"/>
      <c r="J29" s="612"/>
      <c r="K29" s="609"/>
      <c r="L29" s="342"/>
      <c r="M29" s="613"/>
      <c r="N29" s="425"/>
      <c r="V29" s="23"/>
      <c r="W29" s="23"/>
      <c r="X29" s="23"/>
      <c r="Y29" s="23"/>
      <c r="Z29" s="23"/>
      <c r="AA29" s="23"/>
      <c r="AB29" s="23"/>
      <c r="AC29" s="23"/>
    </row>
    <row r="30" spans="1:29">
      <c r="A30" s="619" t="s">
        <v>7</v>
      </c>
      <c r="B30" s="619"/>
      <c r="C30" s="184"/>
      <c r="D30" s="612"/>
      <c r="E30" s="608"/>
      <c r="F30" s="184"/>
      <c r="G30" s="612"/>
      <c r="H30" s="612"/>
      <c r="I30" s="612"/>
      <c r="J30" s="612"/>
      <c r="K30" s="609"/>
      <c r="L30" s="343"/>
      <c r="M30" s="613"/>
      <c r="N30" s="425"/>
      <c r="P30" s="416"/>
      <c r="V30" s="23"/>
      <c r="W30" s="23"/>
      <c r="X30" s="23"/>
      <c r="Y30" s="23"/>
      <c r="Z30" s="23"/>
      <c r="AA30" s="23"/>
      <c r="AB30" s="23"/>
      <c r="AC30" s="23"/>
    </row>
    <row r="31" spans="1:29">
      <c r="A31" s="608" t="s">
        <v>98</v>
      </c>
      <c r="B31" s="619"/>
      <c r="C31" s="612" t="str">
        <f>'Authorized Rev Req'!B101</f>
        <v>D.24-12-040</v>
      </c>
      <c r="D31" s="612">
        <f>F31</f>
        <v>-246532.22998150348</v>
      </c>
      <c r="E31" s="608" t="str">
        <f>'Authorized Rev Req'!T100</f>
        <v>GHG Revenue</v>
      </c>
      <c r="F31" s="612">
        <f>'Authorized Rev Req'!S100+'Authorized Rev Req'!R101</f>
        <v>-246532.22998150348</v>
      </c>
      <c r="G31" s="612">
        <f>F31</f>
        <v>-246532.22998150348</v>
      </c>
      <c r="H31" s="612">
        <f>G31</f>
        <v>-246532.22998150348</v>
      </c>
      <c r="I31" s="612">
        <f>H31</f>
        <v>-246532.22998150348</v>
      </c>
      <c r="J31" s="612">
        <f t="shared" si="7"/>
        <v>-246532.22998150348</v>
      </c>
      <c r="K31" s="609" t="s">
        <v>94</v>
      </c>
      <c r="L31" s="612"/>
      <c r="M31" s="613"/>
      <c r="N31" s="425"/>
      <c r="V31" s="23"/>
      <c r="W31" s="23"/>
      <c r="X31" s="23"/>
      <c r="Y31" s="23"/>
      <c r="Z31" s="23"/>
      <c r="AA31" s="23"/>
      <c r="AB31" s="23"/>
      <c r="AC31" s="23"/>
    </row>
    <row r="32" spans="1:29">
      <c r="A32" s="608" t="s">
        <v>99</v>
      </c>
      <c r="B32" s="619"/>
      <c r="C32" s="25" t="str">
        <f>'Authorized Rev Req'!B107</f>
        <v>D.20-01-021</v>
      </c>
      <c r="D32" s="612">
        <f>F32</f>
        <v>0</v>
      </c>
      <c r="E32" s="608" t="str">
        <f>'Authorized Rev Req'!T103</f>
        <v>Public Purpose Program</v>
      </c>
      <c r="F32" s="25">
        <v>0</v>
      </c>
      <c r="G32" s="612"/>
      <c r="H32" s="612"/>
      <c r="I32" s="612"/>
      <c r="J32" s="612">
        <f t="shared" si="7"/>
        <v>0</v>
      </c>
      <c r="K32" s="609" t="s">
        <v>94</v>
      </c>
      <c r="L32" s="342"/>
      <c r="M32" s="613"/>
      <c r="N32" s="425"/>
      <c r="V32" s="23"/>
      <c r="W32" s="23"/>
      <c r="X32" s="23"/>
      <c r="Y32" s="23"/>
      <c r="Z32" s="23"/>
      <c r="AA32" s="23"/>
      <c r="AB32" s="23"/>
      <c r="AC32" s="23"/>
    </row>
    <row r="33" spans="1:29">
      <c r="A33" s="608" t="s">
        <v>101</v>
      </c>
      <c r="B33" s="619"/>
      <c r="C33" s="612" t="str">
        <f>'Authorized Rev Req'!B104</f>
        <v>AL 4504-E</v>
      </c>
      <c r="D33" s="612">
        <f>F33</f>
        <v>48660.707999999999</v>
      </c>
      <c r="E33" s="608" t="str">
        <f>'Authorized Rev Req'!T104</f>
        <v>Public Purpose Program</v>
      </c>
      <c r="F33" s="612">
        <f>'Authorized Rev Req'!S104</f>
        <v>48660.707999999999</v>
      </c>
      <c r="G33" s="612">
        <v>47815.004000000001</v>
      </c>
      <c r="H33" s="612">
        <v>48371.617725192991</v>
      </c>
      <c r="I33" s="612">
        <f>H33</f>
        <v>48371.617725192991</v>
      </c>
      <c r="J33" s="612">
        <f>I33</f>
        <v>48371.617725192991</v>
      </c>
      <c r="K33" s="609" t="s">
        <v>94</v>
      </c>
      <c r="L33" s="612"/>
      <c r="M33" s="613"/>
      <c r="N33" s="425"/>
      <c r="V33" s="23"/>
      <c r="W33" s="23"/>
      <c r="X33" s="23"/>
      <c r="Y33" s="23"/>
      <c r="Z33" s="23"/>
      <c r="AA33" s="23"/>
      <c r="AB33" s="23"/>
      <c r="AC33" s="23"/>
    </row>
    <row r="34" spans="1:29">
      <c r="B34" s="18"/>
      <c r="C34" s="25"/>
      <c r="D34" s="23"/>
      <c r="F34" s="25"/>
      <c r="G34" s="23"/>
      <c r="H34" s="23"/>
      <c r="I34" s="23"/>
      <c r="J34" s="23"/>
      <c r="L34" s="342"/>
      <c r="M34" s="425"/>
      <c r="N34" s="425"/>
    </row>
    <row r="35" spans="1:29">
      <c r="A35" t="s">
        <v>270</v>
      </c>
      <c r="C35" s="25" t="str">
        <f>'Authorized Rev Req'!B102</f>
        <v>AL 4504-E</v>
      </c>
      <c r="D35" s="23">
        <f t="shared" ref="D35:D52" si="9">F35</f>
        <v>210348.519</v>
      </c>
      <c r="E35" t="str">
        <f>'Authorized Rev Req'!T102</f>
        <v>Public Purpose Program</v>
      </c>
      <c r="F35" s="25">
        <f>'Authorized Rev Req'!S102</f>
        <v>210348.519</v>
      </c>
      <c r="G35" s="23">
        <f>F35</f>
        <v>210348.519</v>
      </c>
      <c r="H35" s="23">
        <f t="shared" ref="H35:I41" si="10">G35</f>
        <v>210348.519</v>
      </c>
      <c r="I35" s="23">
        <f t="shared" si="10"/>
        <v>210348.519</v>
      </c>
      <c r="J35" s="23">
        <f t="shared" si="7"/>
        <v>210348.519</v>
      </c>
      <c r="K35" s="12" t="s">
        <v>94</v>
      </c>
      <c r="L35" s="342"/>
      <c r="M35" s="425"/>
      <c r="N35" s="425"/>
    </row>
    <row r="36" spans="1:29">
      <c r="A36" t="s">
        <v>61</v>
      </c>
      <c r="B36" s="18"/>
      <c r="C36" s="23" t="str">
        <f>'Authorized Rev Req'!B103</f>
        <v>AL 4504-E</v>
      </c>
      <c r="D36" s="23">
        <f t="shared" si="9"/>
        <v>17427.594000000001</v>
      </c>
      <c r="E36" t="str">
        <f>'Authorized Rev Req'!T103</f>
        <v>Public Purpose Program</v>
      </c>
      <c r="F36" s="23">
        <f>'Authorized Rev Req'!S103</f>
        <v>17427.594000000001</v>
      </c>
      <c r="G36" s="23">
        <v>18190.332679642361</v>
      </c>
      <c r="H36" s="23"/>
      <c r="I36" s="23"/>
      <c r="J36" s="23"/>
      <c r="K36" s="12" t="s">
        <v>94</v>
      </c>
      <c r="L36" s="23"/>
      <c r="M36" s="425"/>
      <c r="N36" s="425"/>
      <c r="O36" s="25"/>
      <c r="P36" s="25"/>
    </row>
    <row r="37" spans="1:29">
      <c r="A37" t="s">
        <v>103</v>
      </c>
      <c r="C37" s="25" t="str">
        <f>'Authorized Rev Req'!B105</f>
        <v>AL 4504-E</v>
      </c>
      <c r="D37" s="23">
        <f t="shared" si="9"/>
        <v>16279.999999999998</v>
      </c>
      <c r="E37" t="str">
        <f>'Authorized Rev Req'!T105</f>
        <v>Public Purpose Program</v>
      </c>
      <c r="F37" s="25">
        <f>'Authorized Rev Req'!S105</f>
        <v>16279.999999999998</v>
      </c>
      <c r="G37" s="23">
        <f>148000*0.088</f>
        <v>13024</v>
      </c>
      <c r="H37" s="23">
        <f t="shared" si="10"/>
        <v>13024</v>
      </c>
      <c r="I37" s="23">
        <f t="shared" si="10"/>
        <v>13024</v>
      </c>
      <c r="J37" s="23">
        <f t="shared" si="7"/>
        <v>13024</v>
      </c>
      <c r="K37" s="12" t="s">
        <v>94</v>
      </c>
      <c r="L37" s="342"/>
      <c r="M37" s="425"/>
      <c r="N37" s="425"/>
      <c r="V37" s="15"/>
      <c r="W37" s="15"/>
      <c r="X37" s="15"/>
    </row>
    <row r="38" spans="1:29">
      <c r="A38" t="s">
        <v>63</v>
      </c>
      <c r="C38" s="25" t="str">
        <f>'Authorized Rev Req'!B106</f>
        <v>AL 4504-E</v>
      </c>
      <c r="D38" s="23">
        <f t="shared" si="9"/>
        <v>4267.1790000000001</v>
      </c>
      <c r="E38" t="str">
        <f>'Authorized Rev Req'!T106</f>
        <v>Public Purpose Program</v>
      </c>
      <c r="F38" s="25">
        <f>'Authorized Rev Req'!S106</f>
        <v>4267.1790000000001</v>
      </c>
      <c r="G38" s="23">
        <f>F38</f>
        <v>4267.1790000000001</v>
      </c>
      <c r="H38" s="23">
        <f t="shared" si="10"/>
        <v>4267.1790000000001</v>
      </c>
      <c r="I38" s="23">
        <f t="shared" si="10"/>
        <v>4267.1790000000001</v>
      </c>
      <c r="J38" s="23">
        <f t="shared" si="7"/>
        <v>4267.1790000000001</v>
      </c>
      <c r="K38" s="12" t="s">
        <v>94</v>
      </c>
      <c r="L38" s="342"/>
      <c r="M38" s="425"/>
      <c r="N38" s="425"/>
      <c r="V38" s="15"/>
      <c r="W38" s="15"/>
      <c r="X38" s="15"/>
    </row>
    <row r="39" spans="1:29">
      <c r="A39" s="13" t="s">
        <v>66</v>
      </c>
      <c r="C39" s="25" t="str">
        <f>'Authorized Rev Req'!B109</f>
        <v>AL 4504-E</v>
      </c>
      <c r="D39" s="23">
        <f t="shared" si="9"/>
        <v>32</v>
      </c>
      <c r="E39" t="str">
        <f>'Authorized Rev Req'!T109</f>
        <v>Public Purpose Program</v>
      </c>
      <c r="F39" s="25">
        <f>'Authorized Rev Req'!S109</f>
        <v>32</v>
      </c>
      <c r="G39" s="23">
        <f>F39</f>
        <v>32</v>
      </c>
      <c r="H39" s="23">
        <f t="shared" si="10"/>
        <v>32</v>
      </c>
      <c r="I39" s="23">
        <f t="shared" si="10"/>
        <v>32</v>
      </c>
      <c r="J39" s="23">
        <f t="shared" si="7"/>
        <v>32</v>
      </c>
      <c r="K39" s="12" t="s">
        <v>94</v>
      </c>
      <c r="L39" s="342"/>
      <c r="M39" s="425"/>
      <c r="N39" s="425"/>
      <c r="V39" s="15"/>
      <c r="W39" s="15"/>
      <c r="X39" s="15"/>
    </row>
    <row r="40" spans="1:29">
      <c r="A40" t="s">
        <v>315</v>
      </c>
      <c r="C40" s="25" t="str">
        <f>'Authorized Rev Req'!B115</f>
        <v>AL 4504-E</v>
      </c>
      <c r="D40" s="23">
        <f t="shared" si="9"/>
        <v>553.29999999999995</v>
      </c>
      <c r="E40" t="str">
        <f>'Authorized Rev Req'!T115</f>
        <v>Public Purpose Program</v>
      </c>
      <c r="F40" s="25">
        <f>'Authorized Rev Req'!S115</f>
        <v>553.29999999999995</v>
      </c>
      <c r="G40" s="23">
        <f>F40</f>
        <v>553.29999999999995</v>
      </c>
      <c r="H40" s="23">
        <f t="shared" si="10"/>
        <v>553.29999999999995</v>
      </c>
      <c r="I40" s="23">
        <f t="shared" si="10"/>
        <v>553.29999999999995</v>
      </c>
      <c r="J40" s="23">
        <f t="shared" si="7"/>
        <v>553.29999999999995</v>
      </c>
      <c r="K40" s="12" t="s">
        <v>94</v>
      </c>
      <c r="L40" s="342"/>
      <c r="M40" s="425"/>
      <c r="N40" s="425"/>
    </row>
    <row r="41" spans="1:29">
      <c r="A41" t="s">
        <v>205</v>
      </c>
      <c r="C41" s="25" t="str">
        <f>'Authorized Rev Req'!B119</f>
        <v>D.24-12-040</v>
      </c>
      <c r="D41" s="740"/>
      <c r="E41" t="str">
        <f>'Authorized Rev Req'!T119</f>
        <v>Public Purpose Program</v>
      </c>
      <c r="F41" s="740"/>
      <c r="G41" s="740"/>
      <c r="H41" s="740"/>
      <c r="I41" s="740"/>
      <c r="J41" s="740"/>
      <c r="K41" s="12" t="s">
        <v>94</v>
      </c>
      <c r="L41" s="342"/>
      <c r="M41" s="425"/>
      <c r="N41" s="425"/>
      <c r="V41" s="22"/>
      <c r="W41" s="22"/>
    </row>
    <row r="42" spans="1:29">
      <c r="A42" t="s">
        <v>110</v>
      </c>
      <c r="C42" s="25" t="str">
        <f>'Authorized Rev Req'!B66</f>
        <v>D.19-09-051, D.22-12-031, D.24-10-008, AL 4078-E, AL 4078-E-A, AL 4553-E</v>
      </c>
      <c r="D42" s="23">
        <f t="shared" si="9"/>
        <v>-9229.3669170651228</v>
      </c>
      <c r="E42" t="str">
        <f>'Authorized Rev Req'!T66</f>
        <v>Distribution</v>
      </c>
      <c r="F42" s="25">
        <f>'Authorized Rev Req'!S66</f>
        <v>-9229.3669170651228</v>
      </c>
      <c r="G42" s="612">
        <v>-8814.9904456586046</v>
      </c>
      <c r="H42" s="612">
        <v>-8341.4702841342842</v>
      </c>
      <c r="I42" s="23">
        <v>-7903.403921428554</v>
      </c>
      <c r="J42" s="23">
        <v>-7468.5008486644701</v>
      </c>
      <c r="K42" s="12" t="s">
        <v>94</v>
      </c>
      <c r="L42" s="342"/>
      <c r="M42" s="425"/>
      <c r="N42" s="425"/>
      <c r="V42" s="29"/>
      <c r="W42" s="29"/>
      <c r="X42" s="30"/>
    </row>
    <row r="43" spans="1:29">
      <c r="A43" t="s">
        <v>111</v>
      </c>
      <c r="C43" s="25" t="str">
        <f>'Authorized Rev Req'!B67</f>
        <v>D.19-08-026, D.22-12-031,  D.24-10-008, AL 3489-E-A, AL 4553-E</v>
      </c>
      <c r="D43" s="23">
        <f t="shared" si="9"/>
        <v>15737.903139376944</v>
      </c>
      <c r="E43" t="str">
        <f>'Authorized Rev Req'!T67</f>
        <v>Distribution</v>
      </c>
      <c r="F43" s="25">
        <f>'Authorized Rev Req'!S67</f>
        <v>15737.903139376944</v>
      </c>
      <c r="G43" s="612">
        <v>14657.710298825883</v>
      </c>
      <c r="H43" s="612">
        <v>14477.811106143587</v>
      </c>
      <c r="I43" s="23">
        <v>14137.722577014849</v>
      </c>
      <c r="J43" s="23">
        <v>13806.467528711613</v>
      </c>
      <c r="K43" s="12" t="s">
        <v>94</v>
      </c>
      <c r="L43" s="342"/>
      <c r="M43" s="425"/>
      <c r="N43" s="425"/>
      <c r="V43" s="29"/>
      <c r="W43" s="29"/>
      <c r="X43" s="30"/>
    </row>
    <row r="44" spans="1:29">
      <c r="A44" s="75" t="s">
        <v>112</v>
      </c>
      <c r="C44" s="25" t="str">
        <f>'Authorized Rev Req'!B68</f>
        <v>D.19-11-017, D.22-12-031, D.24-10-008, AL 3480-E-A, AL 4553-E</v>
      </c>
      <c r="D44" s="23">
        <f t="shared" si="9"/>
        <v>3464.1058374170839</v>
      </c>
      <c r="E44" t="str">
        <f>'Authorized Rev Req'!T68</f>
        <v>Distribution</v>
      </c>
      <c r="F44" s="25">
        <f>'Authorized Rev Req'!S68</f>
        <v>3464.1058374170839</v>
      </c>
      <c r="G44" s="612">
        <v>3200.4343338548028</v>
      </c>
      <c r="H44" s="612">
        <v>3066.1225278561669</v>
      </c>
      <c r="I44" s="23">
        <v>2962.9738945575004</v>
      </c>
      <c r="J44" s="23">
        <v>2861.3020677630689</v>
      </c>
      <c r="K44" s="12" t="s">
        <v>94</v>
      </c>
      <c r="L44" s="342"/>
      <c r="M44" s="425"/>
      <c r="N44" s="425"/>
      <c r="V44" s="29"/>
      <c r="W44" s="29"/>
      <c r="X44" s="30"/>
    </row>
    <row r="45" spans="1:29">
      <c r="A45" t="s">
        <v>114</v>
      </c>
      <c r="C45" s="25" t="str">
        <f>'Authorized Rev Req'!B69</f>
        <v>D.19-08-026, D.22-12-031, D.24-10-008, AL 3489-E-A, AL 4553-E</v>
      </c>
      <c r="D45" s="23">
        <f t="shared" si="9"/>
        <v>222.3452238648876</v>
      </c>
      <c r="E45" t="str">
        <f>'Authorized Rev Req'!T69</f>
        <v>Distribution</v>
      </c>
      <c r="F45" s="25">
        <f>'Authorized Rev Req'!S69</f>
        <v>222.3452238648876</v>
      </c>
      <c r="G45" s="612">
        <v>197.62541405415533</v>
      </c>
      <c r="H45" s="612">
        <v>124.51625350883957</v>
      </c>
      <c r="I45" s="23">
        <v>119.56975629852454</v>
      </c>
      <c r="J45" s="23">
        <v>114.65720547812239</v>
      </c>
      <c r="K45" s="12" t="s">
        <v>94</v>
      </c>
      <c r="L45" s="342"/>
      <c r="M45" s="425"/>
      <c r="N45" s="425"/>
      <c r="V45" s="29"/>
      <c r="W45" s="29"/>
      <c r="X45" s="30"/>
    </row>
    <row r="46" spans="1:29">
      <c r="A46" t="s">
        <v>109</v>
      </c>
      <c r="C46" s="25" t="str">
        <f>'Authorized Rev Req'!B73</f>
        <v>D.21-04-014, D.22-12-031, D.24-10-008, AL 3765-E, AL 3765-E-A, AL 4553-E</v>
      </c>
      <c r="D46" s="23">
        <f t="shared" si="9"/>
        <v>6753.3473998666186</v>
      </c>
      <c r="E46" t="str">
        <f>'Authorized Rev Req'!T73</f>
        <v>Distribution</v>
      </c>
      <c r="F46" s="25">
        <f>'Authorized Rev Req'!S73</f>
        <v>6753.3473998666186</v>
      </c>
      <c r="G46" s="612">
        <v>6583.6818469617656</v>
      </c>
      <c r="H46" s="612">
        <v>6373.2640176290824</v>
      </c>
      <c r="I46" s="23">
        <v>5367.6993399990006</v>
      </c>
      <c r="J46" s="23">
        <v>5184.5968283331704</v>
      </c>
      <c r="K46" s="12" t="s">
        <v>94</v>
      </c>
      <c r="L46" s="342"/>
      <c r="M46" s="425"/>
      <c r="N46" s="425"/>
      <c r="V46" s="29"/>
      <c r="W46" s="29"/>
      <c r="X46" s="30"/>
    </row>
    <row r="47" spans="1:29" ht="13.95" customHeight="1">
      <c r="A47" t="s">
        <v>121</v>
      </c>
      <c r="C47" s="25" t="str">
        <f>'Authorized Rev Req'!B71</f>
        <v>D.24-12-074, AL 4588-E</v>
      </c>
      <c r="D47" s="23">
        <f t="shared" si="9"/>
        <v>7716.0574128604312</v>
      </c>
      <c r="E47" t="str">
        <f>'Authorized Rev Req'!T71</f>
        <v>Distribution</v>
      </c>
      <c r="F47" s="25">
        <f>'Authorized Rev Req'!S71</f>
        <v>7716.0574128604312</v>
      </c>
      <c r="G47" s="612">
        <f>F47</f>
        <v>7716.0574128604312</v>
      </c>
      <c r="H47" s="612">
        <f>G47</f>
        <v>7716.0574128604312</v>
      </c>
      <c r="I47" s="23">
        <f>H47</f>
        <v>7716.0574128604312</v>
      </c>
      <c r="J47" s="23">
        <f t="shared" si="7"/>
        <v>7716.0574128604312</v>
      </c>
      <c r="K47" s="12" t="s">
        <v>94</v>
      </c>
      <c r="L47" s="342"/>
      <c r="M47" s="425"/>
      <c r="N47" s="425"/>
    </row>
    <row r="48" spans="1:29" ht="13.95" customHeight="1">
      <c r="A48" t="s">
        <v>347</v>
      </c>
      <c r="C48" s="25" t="str">
        <f>'Authorized Rev Req'!B140</f>
        <v>D.24-12-040, AL 4504-E</v>
      </c>
      <c r="D48" s="23">
        <f t="shared" si="9"/>
        <v>0</v>
      </c>
      <c r="E48" t="str">
        <f>'Authorized Rev Req'!T140</f>
        <v>Public Purpose Program</v>
      </c>
      <c r="F48" s="25">
        <f>'Authorized Rev Req'!S140</f>
        <v>0</v>
      </c>
      <c r="G48" s="613"/>
      <c r="H48" s="613"/>
      <c r="I48" s="425"/>
      <c r="J48" s="425"/>
      <c r="K48" s="12" t="s">
        <v>94</v>
      </c>
      <c r="L48" s="342"/>
      <c r="M48" s="425"/>
    </row>
    <row r="49" spans="1:24" ht="13.95" customHeight="1">
      <c r="A49" t="s">
        <v>348</v>
      </c>
      <c r="C49" s="25" t="str">
        <f>'Authorized Rev Req'!B141</f>
        <v>D.24-12-040, AL 4504-E</v>
      </c>
      <c r="D49" s="23">
        <f t="shared" si="9"/>
        <v>0</v>
      </c>
      <c r="E49" t="str">
        <f>'Authorized Rev Req'!T141</f>
        <v>Public Purpose Program</v>
      </c>
      <c r="F49" s="25">
        <f>'Authorized Rev Req'!S141</f>
        <v>0</v>
      </c>
      <c r="G49" s="613"/>
      <c r="H49" s="613"/>
      <c r="I49" s="425"/>
      <c r="J49" s="425"/>
      <c r="K49" s="12" t="s">
        <v>94</v>
      </c>
      <c r="L49" s="342"/>
      <c r="M49" s="425"/>
      <c r="N49" s="425"/>
    </row>
    <row r="50" spans="1:24">
      <c r="A50" t="s">
        <v>467</v>
      </c>
      <c r="C50" s="25" t="str">
        <f>'Authorized Rev Req'!B149</f>
        <v>D.23-12-036, D.24-12-033, AL 4504-E</v>
      </c>
      <c r="D50" s="23">
        <f t="shared" si="9"/>
        <v>60523</v>
      </c>
      <c r="E50" t="str">
        <f>'Authorized Rev Req'!T149</f>
        <v>Public Purpose Program</v>
      </c>
      <c r="F50" s="25">
        <f>'Authorized Rev Req'!S149</f>
        <v>60523</v>
      </c>
      <c r="G50" s="612">
        <f>F50</f>
        <v>60523</v>
      </c>
      <c r="H50" s="612">
        <f t="shared" ref="H50:J52" si="11">G50</f>
        <v>60523</v>
      </c>
      <c r="I50" s="23">
        <f t="shared" si="11"/>
        <v>60523</v>
      </c>
      <c r="J50" s="23">
        <f t="shared" si="11"/>
        <v>60523</v>
      </c>
      <c r="K50" s="12" t="s">
        <v>94</v>
      </c>
      <c r="L50" s="342"/>
      <c r="M50" s="425"/>
      <c r="V50" s="29"/>
      <c r="W50" s="29"/>
      <c r="X50" s="30"/>
    </row>
    <row r="51" spans="1:24">
      <c r="A51" t="s">
        <v>469</v>
      </c>
      <c r="C51" s="25" t="str">
        <f>'Authorized Rev Req'!B150</f>
        <v>D.19-12-021, AL 4504-E</v>
      </c>
      <c r="D51" s="23">
        <f t="shared" si="9"/>
        <v>2520</v>
      </c>
      <c r="E51" t="str">
        <f>'Authorized Rev Req'!T150</f>
        <v>Public Purpose Program</v>
      </c>
      <c r="F51" s="25">
        <f>'Authorized Rev Req'!S150</f>
        <v>2520</v>
      </c>
      <c r="G51" s="342">
        <f>F51</f>
        <v>2520</v>
      </c>
      <c r="H51" s="612">
        <f t="shared" si="11"/>
        <v>2520</v>
      </c>
      <c r="I51" s="23">
        <f t="shared" si="11"/>
        <v>2520</v>
      </c>
      <c r="J51" s="23">
        <f t="shared" si="11"/>
        <v>2520</v>
      </c>
      <c r="K51" s="12" t="s">
        <v>94</v>
      </c>
      <c r="M51" s="425"/>
      <c r="N51" s="425"/>
      <c r="V51" s="29"/>
      <c r="W51" s="29"/>
      <c r="X51" s="30"/>
    </row>
    <row r="52" spans="1:24">
      <c r="A52" t="s">
        <v>314</v>
      </c>
      <c r="C52" s="12" t="str">
        <f>'Authorized Rev Req'!B114</f>
        <v>AL 4504-E</v>
      </c>
      <c r="D52" s="23">
        <f t="shared" si="9"/>
        <v>4400</v>
      </c>
      <c r="E52" t="str">
        <f>'Authorized Rev Req'!T114</f>
        <v>Public Purpose Program</v>
      </c>
      <c r="F52" s="12">
        <f>'Authorized Rev Req'!S114</f>
        <v>4400</v>
      </c>
      <c r="G52" s="612">
        <f>F52</f>
        <v>4400</v>
      </c>
      <c r="H52" s="612">
        <f t="shared" si="11"/>
        <v>4400</v>
      </c>
      <c r="I52" s="23">
        <f t="shared" si="11"/>
        <v>4400</v>
      </c>
      <c r="J52" s="23">
        <f t="shared" si="11"/>
        <v>4400</v>
      </c>
      <c r="K52" s="12" t="s">
        <v>94</v>
      </c>
      <c r="M52" s="425"/>
      <c r="N52" s="425"/>
      <c r="V52" s="29"/>
      <c r="W52" s="29"/>
      <c r="X52" s="30"/>
    </row>
    <row r="53" spans="1:24">
      <c r="A53" t="s">
        <v>377</v>
      </c>
      <c r="C53" s="12" t="str">
        <f>'Authorized Rev Req'!B54</f>
        <v>D.21-07-028, AL 4233-E, Resolution E-5300</v>
      </c>
      <c r="D53" s="23">
        <f>F53</f>
        <v>5814.5555999999997</v>
      </c>
      <c r="E53" t="str">
        <f>'Authorized Rev Req'!T54</f>
        <v>Distribution</v>
      </c>
      <c r="F53" s="12">
        <f>'Authorized Rev Req'!S54</f>
        <v>5814.5555999999997</v>
      </c>
      <c r="G53" s="342">
        <v>5770.1869999999999</v>
      </c>
      <c r="H53" s="25">
        <v>35.412700000000001</v>
      </c>
      <c r="J53" s="23"/>
      <c r="K53" s="12" t="s">
        <v>94</v>
      </c>
      <c r="M53" s="425"/>
      <c r="N53" s="425"/>
      <c r="V53" s="29"/>
      <c r="W53" s="29"/>
      <c r="X53" s="30"/>
    </row>
    <row r="54" spans="1:24">
      <c r="A54" t="s">
        <v>437</v>
      </c>
      <c r="C54" s="260" t="s">
        <v>438</v>
      </c>
      <c r="D54" s="23">
        <f>F54</f>
        <v>0</v>
      </c>
      <c r="E54" t="str">
        <f>'Authorized Rev Req'!T76</f>
        <v>Distribution</v>
      </c>
      <c r="F54" s="25"/>
      <c r="G54" s="502"/>
      <c r="H54" s="25">
        <v>7867.3336032000034</v>
      </c>
      <c r="I54" s="25">
        <v>7951.3429430999995</v>
      </c>
      <c r="K54" s="12" t="s">
        <v>94</v>
      </c>
      <c r="L54" s="186"/>
      <c r="M54" s="425"/>
      <c r="N54" s="425"/>
      <c r="V54" s="503"/>
      <c r="W54" s="503"/>
      <c r="X54" s="342"/>
    </row>
    <row r="55" spans="1:24">
      <c r="A55" t="s">
        <v>437</v>
      </c>
      <c r="C55" s="260" t="s">
        <v>438</v>
      </c>
      <c r="D55" s="23">
        <f>F55</f>
        <v>0</v>
      </c>
      <c r="E55" t="str">
        <f>'Authorized Rev Req'!T91</f>
        <v>Generation</v>
      </c>
      <c r="F55" s="25"/>
      <c r="G55" s="502"/>
      <c r="H55" s="25">
        <v>166.14538196186001</v>
      </c>
      <c r="I55" s="25">
        <v>166.14877713308002</v>
      </c>
      <c r="K55" s="12" t="s">
        <v>94</v>
      </c>
      <c r="L55" s="186"/>
      <c r="M55" s="425"/>
      <c r="N55" s="425"/>
      <c r="V55" s="29"/>
      <c r="W55" s="29"/>
      <c r="X55" s="30"/>
    </row>
    <row r="56" spans="1:24">
      <c r="A56" s="31" t="s">
        <v>444</v>
      </c>
      <c r="B56" s="31"/>
      <c r="C56" s="31" t="s">
        <v>445</v>
      </c>
      <c r="D56" s="493">
        <f>F56</f>
        <v>19653.441599999998</v>
      </c>
      <c r="E56" s="31" t="str">
        <f>'Authorized Rev Req'!T148</f>
        <v>Public Purpose Program</v>
      </c>
      <c r="F56" s="421">
        <f>'Authorized Rev Req'!S148</f>
        <v>19653.441599999998</v>
      </c>
      <c r="G56" s="504">
        <v>21618.786</v>
      </c>
      <c r="H56" s="630">
        <v>23780.664599999996</v>
      </c>
      <c r="I56" s="422"/>
      <c r="J56" s="422"/>
      <c r="K56" s="494" t="s">
        <v>94</v>
      </c>
      <c r="L56" s="423"/>
      <c r="M56" s="425"/>
      <c r="N56" s="425"/>
      <c r="V56" s="29"/>
      <c r="W56" s="29"/>
      <c r="X56" s="30"/>
    </row>
    <row r="57" spans="1:24">
      <c r="B57" s="15"/>
      <c r="G57" s="608"/>
      <c r="H57" s="612"/>
      <c r="J57" s="23"/>
      <c r="K57"/>
      <c r="L57" s="419"/>
      <c r="M57" s="425"/>
      <c r="N57" s="425"/>
      <c r="V57" s="29"/>
      <c r="W57" s="29"/>
      <c r="X57" s="30"/>
    </row>
    <row r="58" spans="1:24">
      <c r="B58" s="15"/>
      <c r="G58" s="608"/>
      <c r="H58" s="608"/>
      <c r="J58" s="23"/>
      <c r="K58"/>
      <c r="L58" s="420"/>
      <c r="M58" s="425"/>
      <c r="N58" s="425"/>
      <c r="V58" s="29"/>
      <c r="W58" s="29"/>
      <c r="X58" s="30"/>
    </row>
    <row r="59" spans="1:24">
      <c r="A59" s="18" t="s">
        <v>383</v>
      </c>
      <c r="B59" s="21"/>
      <c r="C59" s="184"/>
      <c r="D59" s="23"/>
      <c r="F59" s="184"/>
      <c r="G59" s="343"/>
      <c r="H59" s="184"/>
      <c r="I59" s="184"/>
      <c r="J59" s="23"/>
      <c r="L59" s="343"/>
      <c r="M59" s="425"/>
      <c r="N59" s="425"/>
      <c r="V59" s="29"/>
      <c r="W59" s="29"/>
      <c r="X59" s="30"/>
    </row>
    <row r="60" spans="1:24">
      <c r="A60" s="14" t="s">
        <v>3</v>
      </c>
      <c r="C60" s="23" t="s">
        <v>430</v>
      </c>
      <c r="D60" s="23">
        <f t="shared" ref="D60:D67" si="12">F60</f>
        <v>-23582.500750601921</v>
      </c>
      <c r="E60" t="s">
        <v>3</v>
      </c>
      <c r="F60" s="25">
        <f>SUMIFS('Authorized Rev Req'!$Q$9:$Q$152,'Authorized Rev Req'!$T$9:$T$152,$E60,'Authorized Rev Req'!$U$9:$U$152,"Y")</f>
        <v>-23582.500750601921</v>
      </c>
      <c r="G60" s="342">
        <f t="shared" ref="G60:G67" si="13">F60</f>
        <v>-23582.500750601921</v>
      </c>
      <c r="H60" s="25">
        <f>-'Authorized Rev Req'!Q12+G60</f>
        <v>-9239.4629752945948</v>
      </c>
      <c r="I60" s="25">
        <f t="shared" ref="H60:I67" si="14">H60</f>
        <v>-9239.4629752945948</v>
      </c>
      <c r="J60" s="23">
        <f t="shared" si="7"/>
        <v>-9239.4629752945948</v>
      </c>
      <c r="K60" s="12" t="s">
        <v>94</v>
      </c>
      <c r="L60" s="342"/>
      <c r="M60" s="425"/>
      <c r="N60" s="425"/>
      <c r="V60" s="29"/>
      <c r="W60" s="29"/>
      <c r="X60" s="30"/>
    </row>
    <row r="61" spans="1:24">
      <c r="A61" s="14" t="s">
        <v>257</v>
      </c>
      <c r="C61" t="s">
        <v>431</v>
      </c>
      <c r="D61" s="23">
        <f t="shared" si="12"/>
        <v>-169359.94688956204</v>
      </c>
      <c r="E61" t="s">
        <v>256</v>
      </c>
      <c r="F61" s="25">
        <f>SUMIFS('Authorized Rev Req'!$Q$9:$Q$152,'Authorized Rev Req'!$T$9:$T$152,$E61,'Authorized Rev Req'!$U$9:$U$152,"Y")</f>
        <v>-169359.94688956204</v>
      </c>
      <c r="G61" s="342">
        <f t="shared" si="13"/>
        <v>-169359.94688956204</v>
      </c>
      <c r="H61" s="25">
        <f>-'Authorized Rev Req'!Q13+G61</f>
        <v>-189199.81541037062</v>
      </c>
      <c r="I61" s="25">
        <f t="shared" si="14"/>
        <v>-189199.81541037062</v>
      </c>
      <c r="J61" s="23">
        <f t="shared" si="7"/>
        <v>-189199.81541037062</v>
      </c>
      <c r="K61" s="12" t="s">
        <v>94</v>
      </c>
      <c r="L61" s="342"/>
      <c r="M61" s="425"/>
      <c r="N61" s="425"/>
      <c r="V61" s="29"/>
      <c r="W61" s="29"/>
      <c r="X61" s="30"/>
    </row>
    <row r="62" spans="1:24">
      <c r="A62" s="14" t="s">
        <v>5</v>
      </c>
      <c r="C62" t="s">
        <v>433</v>
      </c>
      <c r="D62" s="23">
        <f t="shared" si="12"/>
        <v>438032.85621851048</v>
      </c>
      <c r="E62" s="14" t="s">
        <v>5</v>
      </c>
      <c r="F62" s="25">
        <f>SUMIFS('Authorized Rev Req'!$Q$9:$Q$152,'Authorized Rev Req'!$T$9:$T$152,$E62,'Authorized Rev Req'!$U$9:$U$152,"Y")</f>
        <v>438032.85621851048</v>
      </c>
      <c r="G62" s="342">
        <f t="shared" si="13"/>
        <v>438032.85621851048</v>
      </c>
      <c r="H62" s="25">
        <f>-'Authorized Rev Req'!Q11+G62</f>
        <v>271429.68528899993</v>
      </c>
      <c r="I62" s="25">
        <f t="shared" si="14"/>
        <v>271429.68528899993</v>
      </c>
      <c r="J62" s="23">
        <f t="shared" si="7"/>
        <v>271429.68528899993</v>
      </c>
      <c r="K62" s="12" t="s">
        <v>94</v>
      </c>
      <c r="L62" s="342"/>
      <c r="M62" s="425"/>
      <c r="N62" s="425"/>
      <c r="V62" s="29"/>
      <c r="W62" s="29"/>
      <c r="X62" s="30"/>
    </row>
    <row r="63" spans="1:24">
      <c r="A63" s="14" t="s">
        <v>59</v>
      </c>
      <c r="C63" t="s">
        <v>434</v>
      </c>
      <c r="D63" s="23">
        <f t="shared" si="12"/>
        <v>-83519.87394803045</v>
      </c>
      <c r="E63" s="14" t="s">
        <v>59</v>
      </c>
      <c r="F63" s="25">
        <f>SUMIFS('Authorized Rev Req'!$Q$9:$Q$152,'Authorized Rev Req'!$T$9:$T$152,$E63,'Authorized Rev Req'!$U$9:$U$152,"Y")</f>
        <v>-83519.87394803045</v>
      </c>
      <c r="G63" s="342">
        <f t="shared" si="13"/>
        <v>-83519.87394803045</v>
      </c>
      <c r="H63" s="25">
        <f t="shared" si="14"/>
        <v>-83519.87394803045</v>
      </c>
      <c r="I63" s="25">
        <f t="shared" si="14"/>
        <v>-83519.87394803045</v>
      </c>
      <c r="J63" s="23">
        <f t="shared" si="7"/>
        <v>-83519.87394803045</v>
      </c>
      <c r="K63" s="12" t="s">
        <v>94</v>
      </c>
      <c r="L63" s="342"/>
      <c r="M63" s="425"/>
      <c r="N63" s="425"/>
      <c r="V63" s="29"/>
      <c r="W63" s="29"/>
      <c r="X63" s="30"/>
    </row>
    <row r="64" spans="1:24">
      <c r="A64" s="14" t="s">
        <v>100</v>
      </c>
      <c r="C64" t="s">
        <v>435</v>
      </c>
      <c r="D64" s="23">
        <f t="shared" si="12"/>
        <v>13510</v>
      </c>
      <c r="E64" s="14" t="s">
        <v>100</v>
      </c>
      <c r="F64" s="25">
        <f>SUMIFS('Authorized Rev Req'!$Q$9:$Q$152,'Authorized Rev Req'!$T$9:$T$152,$E64,'Authorized Rev Req'!$U$9:$U$152,"Y")</f>
        <v>13510</v>
      </c>
      <c r="G64" s="342">
        <f t="shared" si="13"/>
        <v>13510</v>
      </c>
      <c r="H64" s="25">
        <f t="shared" si="14"/>
        <v>13510</v>
      </c>
      <c r="I64" s="25">
        <f t="shared" si="14"/>
        <v>13510</v>
      </c>
      <c r="J64" s="23">
        <f t="shared" si="7"/>
        <v>13510</v>
      </c>
      <c r="K64" s="12" t="s">
        <v>94</v>
      </c>
      <c r="L64" s="342"/>
      <c r="M64" s="425"/>
      <c r="N64" s="425"/>
      <c r="V64" s="29"/>
      <c r="W64" s="29"/>
      <c r="X64" s="30"/>
    </row>
    <row r="65" spans="1:29">
      <c r="A65" s="14" t="s">
        <v>80</v>
      </c>
      <c r="C65" t="s">
        <v>395</v>
      </c>
      <c r="D65" s="23">
        <f t="shared" si="12"/>
        <v>211.66537700000001</v>
      </c>
      <c r="E65" s="14" t="s">
        <v>80</v>
      </c>
      <c r="F65" s="25">
        <f>SUMIFS('Authorized Rev Req'!$Q$9:$Q$152,'Authorized Rev Req'!$T$9:$T$152,$E65,'Authorized Rev Req'!$U$9:$U$152,"Y")</f>
        <v>211.66537700000001</v>
      </c>
      <c r="G65" s="342">
        <f>F65</f>
        <v>211.66537700000001</v>
      </c>
      <c r="H65" s="25">
        <f t="shared" si="14"/>
        <v>211.66537700000001</v>
      </c>
      <c r="I65" s="25">
        <f t="shared" si="14"/>
        <v>211.66537700000001</v>
      </c>
      <c r="J65" s="23">
        <f t="shared" si="7"/>
        <v>211.66537700000001</v>
      </c>
      <c r="K65" s="12" t="s">
        <v>94</v>
      </c>
      <c r="L65" s="342"/>
      <c r="M65" s="425"/>
      <c r="N65" s="425"/>
      <c r="V65" s="29"/>
      <c r="W65" s="29"/>
      <c r="X65" s="30"/>
    </row>
    <row r="66" spans="1:29">
      <c r="A66" s="14" t="s">
        <v>14</v>
      </c>
      <c r="C66" t="s">
        <v>432</v>
      </c>
      <c r="D66" s="23">
        <f t="shared" si="12"/>
        <v>3351.1996770000001</v>
      </c>
      <c r="E66" s="14" t="s">
        <v>14</v>
      </c>
      <c r="F66" s="25">
        <f>SUMIFS('Authorized Rev Req'!$Q$9:$Q$152,'Authorized Rev Req'!$T$9:$T$152,$E66,'Authorized Rev Req'!$U$9:$U$152,"Y")</f>
        <v>3351.1996770000001</v>
      </c>
      <c r="G66" s="342">
        <f t="shared" si="13"/>
        <v>3351.1996770000001</v>
      </c>
      <c r="H66" s="25">
        <f t="shared" si="14"/>
        <v>3351.1996770000001</v>
      </c>
      <c r="I66" s="25">
        <f t="shared" si="14"/>
        <v>3351.1996770000001</v>
      </c>
      <c r="J66" s="23">
        <f t="shared" si="7"/>
        <v>3351.1996770000001</v>
      </c>
      <c r="K66" s="12" t="s">
        <v>94</v>
      </c>
      <c r="L66" s="342"/>
      <c r="M66" s="425"/>
      <c r="N66" s="425"/>
      <c r="V66" s="29"/>
      <c r="W66" s="29"/>
      <c r="X66" s="30"/>
    </row>
    <row r="67" spans="1:29">
      <c r="A67" s="14" t="s">
        <v>78</v>
      </c>
      <c r="C67" t="s">
        <v>436</v>
      </c>
      <c r="D67" s="23">
        <f t="shared" si="12"/>
        <v>0</v>
      </c>
      <c r="E67" t="s">
        <v>78</v>
      </c>
      <c r="F67" s="25">
        <f>SUMIFS('Authorized Rev Req'!$Q$9:$Q$152,'Authorized Rev Req'!$T$9:$T$152,$E67,'Authorized Rev Req'!$U$9:$U$152,"Y")</f>
        <v>0</v>
      </c>
      <c r="G67" s="342">
        <f t="shared" si="13"/>
        <v>0</v>
      </c>
      <c r="H67" s="23">
        <f t="shared" si="14"/>
        <v>0</v>
      </c>
      <c r="I67" s="23">
        <f t="shared" si="14"/>
        <v>0</v>
      </c>
      <c r="J67" s="23">
        <f t="shared" si="7"/>
        <v>0</v>
      </c>
      <c r="K67" s="12" t="s">
        <v>94</v>
      </c>
      <c r="L67" s="342"/>
      <c r="M67" s="425"/>
      <c r="N67" s="425"/>
      <c r="V67" s="29"/>
      <c r="W67" s="29"/>
      <c r="X67" s="30"/>
    </row>
    <row r="68" spans="1:29">
      <c r="A68" s="14"/>
      <c r="C68" s="25"/>
      <c r="D68" s="23"/>
      <c r="E68" s="14"/>
      <c r="F68" s="25"/>
      <c r="G68" s="342"/>
      <c r="H68" s="25"/>
      <c r="I68" s="25"/>
      <c r="J68" s="23">
        <f t="shared" si="7"/>
        <v>0</v>
      </c>
      <c r="L68" s="342"/>
      <c r="M68" s="425"/>
      <c r="N68" s="425"/>
      <c r="V68" s="29"/>
      <c r="W68" s="29"/>
      <c r="X68" s="30"/>
    </row>
    <row r="69" spans="1:29">
      <c r="A69" s="185" t="s">
        <v>104</v>
      </c>
      <c r="D69" s="23"/>
      <c r="G69" s="25"/>
      <c r="H69" s="25"/>
      <c r="I69" s="25"/>
      <c r="J69" s="23">
        <f t="shared" si="7"/>
        <v>0</v>
      </c>
      <c r="L69"/>
      <c r="M69" s="425"/>
      <c r="N69" s="425"/>
      <c r="V69" s="29"/>
      <c r="W69" s="29"/>
      <c r="X69" s="30"/>
    </row>
    <row r="70" spans="1:29">
      <c r="A70" t="s">
        <v>43</v>
      </c>
      <c r="C70" s="25" t="str">
        <f>'Authorized Rev Req'!B93</f>
        <v>D.08-02-034, AL 2069-E, AL 4588-E</v>
      </c>
      <c r="D70" s="23">
        <f t="shared" ref="D70:D79" si="15">F70</f>
        <v>-1046.2193100000015</v>
      </c>
      <c r="E70" t="str">
        <f>'Authorized Rev Req'!T93</f>
        <v>Generation</v>
      </c>
      <c r="F70" s="25">
        <f>'Authorized Rev Req'!S93</f>
        <v>-1046.2193100000015</v>
      </c>
      <c r="G70" s="25">
        <f t="shared" ref="G70:G79" si="16">F70</f>
        <v>-1046.2193100000015</v>
      </c>
      <c r="H70" s="25">
        <f t="shared" ref="H70:I77" si="17">G70</f>
        <v>-1046.2193100000015</v>
      </c>
      <c r="I70" s="25">
        <f t="shared" si="17"/>
        <v>-1046.2193100000015</v>
      </c>
      <c r="J70" s="23">
        <f t="shared" si="7"/>
        <v>-1046.2193100000015</v>
      </c>
      <c r="K70" s="12" t="s">
        <v>94</v>
      </c>
      <c r="L70" s="342"/>
      <c r="M70" s="425"/>
      <c r="N70" s="425"/>
      <c r="V70" s="23"/>
      <c r="W70" s="23"/>
      <c r="X70" s="23"/>
      <c r="Y70" s="23"/>
      <c r="Z70" s="23"/>
      <c r="AA70" s="23"/>
      <c r="AB70" s="23"/>
      <c r="AC70" s="23"/>
    </row>
    <row r="71" spans="1:29">
      <c r="A71" t="s">
        <v>44</v>
      </c>
      <c r="C71" s="25" t="str">
        <f>'Authorized Rev Req'!B94</f>
        <v>D.08-02-034, AL 2069-E, AL 4588-E</v>
      </c>
      <c r="D71" s="23">
        <f t="shared" si="15"/>
        <v>2801.1993099999727</v>
      </c>
      <c r="E71" t="str">
        <f>'Authorized Rev Req'!T94</f>
        <v>Generation</v>
      </c>
      <c r="F71" s="25">
        <f>'Authorized Rev Req'!S94</f>
        <v>2801.1993099999727</v>
      </c>
      <c r="G71" s="25">
        <f t="shared" si="16"/>
        <v>2801.1993099999727</v>
      </c>
      <c r="H71" s="25">
        <f t="shared" si="17"/>
        <v>2801.1993099999727</v>
      </c>
      <c r="I71" s="25">
        <f t="shared" si="17"/>
        <v>2801.1993099999727</v>
      </c>
      <c r="J71" s="23">
        <f t="shared" si="7"/>
        <v>2801.1993099999727</v>
      </c>
      <c r="K71" s="12" t="s">
        <v>94</v>
      </c>
      <c r="L71" s="342"/>
      <c r="M71" s="425"/>
      <c r="N71" s="425"/>
      <c r="V71" s="23"/>
      <c r="W71" s="23"/>
      <c r="X71" s="23"/>
      <c r="Y71" s="23"/>
      <c r="Z71" s="23"/>
      <c r="AA71" s="23"/>
      <c r="AB71" s="23"/>
      <c r="AC71" s="23"/>
    </row>
    <row r="72" spans="1:29">
      <c r="A72" t="s">
        <v>45</v>
      </c>
      <c r="C72" s="25" t="str">
        <f>'Authorized Rev Req'!B95</f>
        <v>D.14-01-002, AL 4588-E</v>
      </c>
      <c r="D72" s="23">
        <f t="shared" si="15"/>
        <v>184.03196999999997</v>
      </c>
      <c r="E72" t="str">
        <f>'Authorized Rev Req'!T95</f>
        <v>Generation</v>
      </c>
      <c r="F72" s="25">
        <f>'Authorized Rev Req'!S95</f>
        <v>184.03196999999997</v>
      </c>
      <c r="G72" s="25">
        <f t="shared" si="16"/>
        <v>184.03196999999997</v>
      </c>
      <c r="H72" s="25">
        <f t="shared" si="17"/>
        <v>184.03196999999997</v>
      </c>
      <c r="I72" s="25">
        <f t="shared" si="17"/>
        <v>184.03196999999997</v>
      </c>
      <c r="J72" s="23">
        <f t="shared" si="7"/>
        <v>184.03196999999997</v>
      </c>
      <c r="K72" s="12" t="s">
        <v>94</v>
      </c>
      <c r="L72" s="342"/>
      <c r="M72" s="425"/>
      <c r="N72" s="425"/>
      <c r="V72" s="23"/>
      <c r="W72" s="23"/>
      <c r="X72" s="23"/>
      <c r="Y72" s="23"/>
      <c r="Z72" s="23"/>
      <c r="AA72" s="23"/>
      <c r="AB72" s="23"/>
      <c r="AC72" s="23"/>
    </row>
    <row r="73" spans="1:29">
      <c r="A73" t="s">
        <v>46</v>
      </c>
      <c r="C73" s="25" t="str">
        <f>'Authorized Rev Req'!B96</f>
        <v>D.08-02-034, AL 2209-E, AL 4588-E</v>
      </c>
      <c r="D73" s="23">
        <f t="shared" si="15"/>
        <v>1756.5771699999907</v>
      </c>
      <c r="E73" t="str">
        <f>'Authorized Rev Req'!T96</f>
        <v>Generation</v>
      </c>
      <c r="F73" s="25">
        <f>'Authorized Rev Req'!S96</f>
        <v>1756.5771699999907</v>
      </c>
      <c r="G73" s="25">
        <f t="shared" si="16"/>
        <v>1756.5771699999907</v>
      </c>
      <c r="H73" s="25">
        <f t="shared" si="17"/>
        <v>1756.5771699999907</v>
      </c>
      <c r="I73" s="25">
        <f t="shared" si="17"/>
        <v>1756.5771699999907</v>
      </c>
      <c r="J73" s="23">
        <f t="shared" si="7"/>
        <v>1756.5771699999907</v>
      </c>
      <c r="K73" s="12" t="s">
        <v>94</v>
      </c>
      <c r="L73" s="342"/>
      <c r="M73" s="425"/>
      <c r="N73" s="425"/>
      <c r="V73" s="23"/>
      <c r="W73" s="23"/>
      <c r="X73" s="23"/>
      <c r="Y73" s="23"/>
      <c r="Z73" s="23"/>
      <c r="AA73" s="23"/>
      <c r="AB73" s="23"/>
      <c r="AC73" s="23"/>
    </row>
    <row r="74" spans="1:29" ht="13.95" customHeight="1">
      <c r="A74" t="s">
        <v>47</v>
      </c>
      <c r="C74" s="25" t="str">
        <f>'Authorized Rev Req'!B97</f>
        <v>D.12-12-004, AL 2816-E, AL 4588-E</v>
      </c>
      <c r="D74" s="23">
        <f t="shared" si="15"/>
        <v>293.14443999999946</v>
      </c>
      <c r="E74" t="str">
        <f>'Authorized Rev Req'!T97</f>
        <v>Generation</v>
      </c>
      <c r="F74" s="25">
        <f>'Authorized Rev Req'!S97</f>
        <v>293.14443999999946</v>
      </c>
      <c r="G74" s="25">
        <f t="shared" si="16"/>
        <v>293.14443999999946</v>
      </c>
      <c r="H74" s="25">
        <f t="shared" si="17"/>
        <v>293.14443999999946</v>
      </c>
      <c r="I74" s="25">
        <f t="shared" si="17"/>
        <v>293.14443999999946</v>
      </c>
      <c r="J74" s="23">
        <f t="shared" si="7"/>
        <v>293.14443999999946</v>
      </c>
      <c r="K74" s="12" t="s">
        <v>94</v>
      </c>
      <c r="L74" s="342"/>
      <c r="M74" s="425"/>
      <c r="N74" s="425"/>
      <c r="V74" s="23"/>
      <c r="W74" s="23"/>
      <c r="X74" s="23"/>
      <c r="Y74" s="23"/>
      <c r="Z74" s="23"/>
      <c r="AA74" s="23"/>
      <c r="AB74" s="23"/>
      <c r="AC74" s="23"/>
    </row>
    <row r="75" spans="1:29">
      <c r="A75" s="14" t="s">
        <v>48</v>
      </c>
      <c r="C75" s="25" t="str">
        <f>'Authorized Rev Req'!B98</f>
        <v>D.12-12-004, AL 2816-E, AL 4588-E</v>
      </c>
      <c r="D75" s="23">
        <f t="shared" si="15"/>
        <v>1877.2533700000047</v>
      </c>
      <c r="E75" t="str">
        <f>'Authorized Rev Req'!T98</f>
        <v>Generation</v>
      </c>
      <c r="F75" s="25">
        <f>'Authorized Rev Req'!S98</f>
        <v>1877.2533700000047</v>
      </c>
      <c r="G75" s="25">
        <f t="shared" si="16"/>
        <v>1877.2533700000047</v>
      </c>
      <c r="H75" s="25">
        <f t="shared" si="17"/>
        <v>1877.2533700000047</v>
      </c>
      <c r="I75" s="25">
        <f t="shared" si="17"/>
        <v>1877.2533700000047</v>
      </c>
      <c r="J75" s="23">
        <f t="shared" si="7"/>
        <v>1877.2533700000047</v>
      </c>
      <c r="K75" s="12" t="s">
        <v>94</v>
      </c>
      <c r="L75" s="342"/>
      <c r="M75" s="425"/>
      <c r="N75" s="425"/>
      <c r="V75" s="29"/>
      <c r="W75" s="29"/>
      <c r="X75" s="30"/>
    </row>
    <row r="76" spans="1:29">
      <c r="A76" t="s">
        <v>49</v>
      </c>
      <c r="C76" s="25" t="str">
        <f>'Authorized Rev Req'!B99</f>
        <v>D.12-12-004, AL 2816-E, AL 4588-E</v>
      </c>
      <c r="D76" s="23">
        <f t="shared" si="15"/>
        <v>6.0792299999999964</v>
      </c>
      <c r="E76" t="str">
        <f>'Authorized Rev Req'!T99</f>
        <v>Generation</v>
      </c>
      <c r="F76" s="25">
        <f>'Authorized Rev Req'!S99</f>
        <v>6.0792299999999964</v>
      </c>
      <c r="G76" s="25">
        <f t="shared" si="16"/>
        <v>6.0792299999999964</v>
      </c>
      <c r="H76" s="25">
        <f t="shared" si="17"/>
        <v>6.0792299999999964</v>
      </c>
      <c r="I76" s="25">
        <f t="shared" si="17"/>
        <v>6.0792299999999964</v>
      </c>
      <c r="J76" s="23">
        <f t="shared" si="7"/>
        <v>6.0792299999999964</v>
      </c>
      <c r="K76" s="12" t="s">
        <v>94</v>
      </c>
      <c r="L76" s="342"/>
      <c r="M76" s="425"/>
      <c r="N76" s="425"/>
    </row>
    <row r="77" spans="1:29">
      <c r="A77" t="s">
        <v>105</v>
      </c>
      <c r="C77" s="25" t="str">
        <f>'Authorized Rev Req'!B92</f>
        <v>D.08-02-034, AL 2209-E, AL 4588-E</v>
      </c>
      <c r="D77" s="23">
        <f t="shared" si="15"/>
        <v>23803.573559999997</v>
      </c>
      <c r="E77" s="14" t="str">
        <f>'Authorized Rev Req'!T92</f>
        <v>Distribution</v>
      </c>
      <c r="F77" s="25">
        <f>'Authorized Rev Req'!S92</f>
        <v>23803.573559999997</v>
      </c>
      <c r="G77" s="25">
        <f t="shared" si="16"/>
        <v>23803.573559999997</v>
      </c>
      <c r="H77" s="25">
        <f t="shared" si="17"/>
        <v>23803.573559999997</v>
      </c>
      <c r="I77" s="25">
        <f t="shared" si="17"/>
        <v>23803.573559999997</v>
      </c>
      <c r="J77" s="23">
        <f t="shared" si="7"/>
        <v>23803.573559999997</v>
      </c>
      <c r="K77" s="12" t="s">
        <v>94</v>
      </c>
      <c r="L77" s="342"/>
      <c r="M77" s="425"/>
    </row>
    <row r="78" spans="1:29">
      <c r="A78" t="s">
        <v>470</v>
      </c>
      <c r="C78" s="12" t="str">
        <f>'Authorized Rev Req'!B151</f>
        <v>D.21-07-010, AL 2209-E, AL 4319-E, AL 4588-E</v>
      </c>
      <c r="D78" s="23">
        <f t="shared" si="15"/>
        <v>1959.0642899999996</v>
      </c>
      <c r="E78" s="14" t="str">
        <f>'Authorized Rev Req'!T151</f>
        <v>Distribution</v>
      </c>
      <c r="F78" s="12">
        <f>'Authorized Rev Req'!S151</f>
        <v>1959.0642899999996</v>
      </c>
      <c r="G78" s="25">
        <f t="shared" si="16"/>
        <v>1959.0642899999996</v>
      </c>
      <c r="H78" s="25">
        <f t="shared" ref="H78:J79" si="18">G78</f>
        <v>1959.0642899999996</v>
      </c>
      <c r="I78" s="25">
        <f t="shared" si="18"/>
        <v>1959.0642899999996</v>
      </c>
      <c r="J78" s="23">
        <f t="shared" si="18"/>
        <v>1959.0642899999996</v>
      </c>
      <c r="K78" s="12" t="s">
        <v>94</v>
      </c>
      <c r="L78"/>
      <c r="M78" s="425"/>
      <c r="V78" s="29"/>
      <c r="W78" s="29"/>
      <c r="X78" s="30"/>
    </row>
    <row r="79" spans="1:29">
      <c r="A79" s="13" t="s">
        <v>471</v>
      </c>
      <c r="C79" s="12" t="str">
        <f>'Authorized Rev Req'!B152</f>
        <v>D.21-07-010, AL 2209-E, AL 4319-E, AL 4588-E</v>
      </c>
      <c r="D79" s="23">
        <f t="shared" si="15"/>
        <v>824.16204999999979</v>
      </c>
      <c r="E79" s="14" t="str">
        <f>'Authorized Rev Req'!T152</f>
        <v>Generation</v>
      </c>
      <c r="F79" s="12">
        <f>'Authorized Rev Req'!S152</f>
        <v>824.16204999999979</v>
      </c>
      <c r="G79" s="25">
        <f t="shared" si="16"/>
        <v>824.16204999999979</v>
      </c>
      <c r="H79" s="25">
        <f t="shared" si="18"/>
        <v>824.16204999999979</v>
      </c>
      <c r="I79" s="25">
        <f t="shared" si="18"/>
        <v>824.16204999999979</v>
      </c>
      <c r="J79" s="23">
        <f t="shared" si="18"/>
        <v>824.16204999999979</v>
      </c>
      <c r="K79" s="12" t="s">
        <v>94</v>
      </c>
      <c r="L79"/>
      <c r="M79" s="425"/>
      <c r="N79" s="425"/>
      <c r="V79" s="29"/>
      <c r="W79" s="29"/>
      <c r="X79" s="30"/>
    </row>
    <row r="80" spans="1:29">
      <c r="A80" s="18" t="s">
        <v>9</v>
      </c>
      <c r="C80" s="184"/>
      <c r="D80" s="23"/>
      <c r="F80" s="184"/>
      <c r="G80" s="25"/>
      <c r="H80" s="25"/>
      <c r="I80" s="25"/>
      <c r="J80" s="23"/>
      <c r="L80" s="343"/>
      <c r="M80" s="425"/>
      <c r="N80" s="425"/>
      <c r="Q80" s="13"/>
      <c r="V80" s="29"/>
      <c r="W80" s="29"/>
      <c r="X80" s="30"/>
    </row>
    <row r="81" spans="1:31">
      <c r="A81" t="s">
        <v>83</v>
      </c>
      <c r="C81" s="25" t="str">
        <f>'Authorized Rev Req'!B158</f>
        <v>ER25-270-000</v>
      </c>
      <c r="D81" s="23">
        <f>F81</f>
        <v>1241611.5256814267</v>
      </c>
      <c r="E81" t="str">
        <f>'Authorized Rev Req'!T158</f>
        <v>Transmission</v>
      </c>
      <c r="F81" s="25">
        <f>'Authorized Rev Req'!S158</f>
        <v>1241611.5256814267</v>
      </c>
      <c r="G81" s="25">
        <f>F81</f>
        <v>1241611.5256814267</v>
      </c>
      <c r="H81" s="25">
        <f t="shared" ref="H81:I84" si="19">G81</f>
        <v>1241611.5256814267</v>
      </c>
      <c r="I81" s="25">
        <f t="shared" si="19"/>
        <v>1241611.5256814267</v>
      </c>
      <c r="J81" s="23">
        <f t="shared" si="7"/>
        <v>1241611.5256814267</v>
      </c>
      <c r="K81" s="12" t="s">
        <v>94</v>
      </c>
      <c r="L81" s="342"/>
      <c r="M81" s="425"/>
      <c r="N81" s="425"/>
    </row>
    <row r="82" spans="1:31">
      <c r="A82" s="14" t="s">
        <v>84</v>
      </c>
      <c r="C82" s="25" t="str">
        <f>'Authorized Rev Req'!B159</f>
        <v>ER25-405-000</v>
      </c>
      <c r="D82" s="23">
        <f>F82</f>
        <v>-338074.81254709855</v>
      </c>
      <c r="E82" t="str">
        <f>'Authorized Rev Req'!T159</f>
        <v>Transmission</v>
      </c>
      <c r="F82" s="25">
        <f>'Authorized Rev Req'!S159</f>
        <v>-338074.81254709855</v>
      </c>
      <c r="G82" s="25">
        <f>F82</f>
        <v>-338074.81254709855</v>
      </c>
      <c r="H82" s="25">
        <f t="shared" si="19"/>
        <v>-338074.81254709855</v>
      </c>
      <c r="I82" s="25">
        <f t="shared" si="19"/>
        <v>-338074.81254709855</v>
      </c>
      <c r="J82" s="23">
        <f>I82</f>
        <v>-338074.81254709855</v>
      </c>
      <c r="K82" s="12" t="s">
        <v>94</v>
      </c>
      <c r="L82" s="342"/>
      <c r="M82" s="425"/>
      <c r="N82" s="425"/>
    </row>
    <row r="83" spans="1:31">
      <c r="A83" t="s">
        <v>85</v>
      </c>
      <c r="C83" s="25" t="str">
        <f>'Authorized Rev Req'!B160</f>
        <v>ER25-218-000</v>
      </c>
      <c r="D83" s="23">
        <f>F83</f>
        <v>-40831.286867283969</v>
      </c>
      <c r="E83" t="str">
        <f>'Authorized Rev Req'!T160</f>
        <v>Transmission</v>
      </c>
      <c r="F83" s="25">
        <f>'Authorized Rev Req'!S160</f>
        <v>-40831.286867283969</v>
      </c>
      <c r="G83" s="25">
        <f>F83</f>
        <v>-40831.286867283969</v>
      </c>
      <c r="H83" s="25">
        <f t="shared" si="19"/>
        <v>-40831.286867283969</v>
      </c>
      <c r="I83" s="25">
        <f t="shared" si="19"/>
        <v>-40831.286867283969</v>
      </c>
      <c r="J83" s="23">
        <f>I83</f>
        <v>-40831.286867283969</v>
      </c>
      <c r="K83" s="12" t="s">
        <v>94</v>
      </c>
      <c r="L83" s="342"/>
      <c r="M83" s="425"/>
      <c r="N83" s="425"/>
    </row>
    <row r="84" spans="1:31">
      <c r="A84" t="s">
        <v>249</v>
      </c>
      <c r="C84" s="25" t="str">
        <f>'Authorized Rev Req'!B161</f>
        <v>ER25-694-000</v>
      </c>
      <c r="D84" s="23">
        <f>F84</f>
        <v>178.76388774267036</v>
      </c>
      <c r="E84" t="str">
        <f>'Authorized Rev Req'!T161</f>
        <v>RS</v>
      </c>
      <c r="F84" s="25">
        <f>'Authorized Rev Req'!S161</f>
        <v>178.76388774267036</v>
      </c>
      <c r="G84" s="25">
        <f>F84</f>
        <v>178.76388774267036</v>
      </c>
      <c r="H84" s="25">
        <f t="shared" si="19"/>
        <v>178.76388774267036</v>
      </c>
      <c r="I84" s="25">
        <f t="shared" si="19"/>
        <v>178.76388774267036</v>
      </c>
      <c r="J84" s="23">
        <f>I84</f>
        <v>178.76388774267036</v>
      </c>
      <c r="K84" s="12" t="s">
        <v>94</v>
      </c>
      <c r="L84" s="342"/>
      <c r="N84" s="425"/>
    </row>
    <row r="85" spans="1:31" ht="15" thickBot="1">
      <c r="A85" s="18" t="s">
        <v>106</v>
      </c>
      <c r="D85" s="183">
        <f>SUM(D10:D84)</f>
        <v>4308732.9498201078</v>
      </c>
      <c r="E85" s="183"/>
      <c r="F85" s="183">
        <f>SUM(F10:F84)</f>
        <v>4308732.9498201078</v>
      </c>
      <c r="G85" s="183">
        <f>SUM(G10:G84)</f>
        <v>4312190.4126751749</v>
      </c>
      <c r="H85" s="183">
        <f>SUM(H10:H84)</f>
        <v>4187939.5449265852</v>
      </c>
      <c r="I85" s="183">
        <f>SUM(I10:I84)</f>
        <v>4162589.0869980934</v>
      </c>
      <c r="J85" s="183">
        <f>SUM(J10:J84)</f>
        <v>4154285.556413041</v>
      </c>
      <c r="K85"/>
      <c r="L85" s="21"/>
    </row>
    <row r="86" spans="1:31" ht="15" thickTop="1">
      <c r="D86" s="305"/>
      <c r="E86" s="293"/>
      <c r="K86"/>
    </row>
    <row r="87" spans="1:31">
      <c r="A87" s="18" t="s">
        <v>250</v>
      </c>
      <c r="E87" s="15" t="s">
        <v>250</v>
      </c>
      <c r="F87" s="232">
        <f>'Sales Allocations &amp; CCC'!S3</f>
        <v>8.0000000000000004E-4</v>
      </c>
      <c r="K87"/>
    </row>
    <row r="88" spans="1:31">
      <c r="A88" s="18" t="s">
        <v>251</v>
      </c>
      <c r="E88" s="15"/>
      <c r="F88" s="453"/>
      <c r="G88" s="454"/>
      <c r="K88"/>
      <c r="L88"/>
      <c r="O88" s="404" t="s">
        <v>159</v>
      </c>
      <c r="P88" s="404"/>
      <c r="Q88" s="404"/>
      <c r="R88" s="404"/>
      <c r="S88" s="404"/>
      <c r="T88" s="404"/>
      <c r="V88" s="23"/>
      <c r="W88" s="23"/>
      <c r="X88" s="23"/>
      <c r="Y88" s="23"/>
      <c r="Z88" s="23"/>
      <c r="AA88" s="23"/>
      <c r="AB88" s="23"/>
      <c r="AC88" s="23"/>
    </row>
    <row r="89" spans="1:31">
      <c r="E89" s="15"/>
      <c r="H89" s="330"/>
      <c r="I89" s="330"/>
      <c r="J89" s="330"/>
      <c r="K89"/>
      <c r="L89"/>
      <c r="O89" s="19"/>
      <c r="P89" s="19">
        <v>2025</v>
      </c>
      <c r="Q89" s="19">
        <v>2026</v>
      </c>
      <c r="R89" s="19">
        <v>2027</v>
      </c>
      <c r="S89" s="19">
        <v>2028</v>
      </c>
      <c r="T89" s="19">
        <v>2029</v>
      </c>
      <c r="V89" s="399"/>
    </row>
    <row r="90" spans="1:31" ht="28.5" customHeight="1">
      <c r="A90" s="558" t="s">
        <v>211</v>
      </c>
      <c r="B90" s="558"/>
      <c r="C90" s="558"/>
      <c r="D90" s="558"/>
      <c r="E90" s="558"/>
      <c r="F90" s="558"/>
      <c r="G90" s="558"/>
      <c r="H90" s="558"/>
      <c r="I90" s="558"/>
      <c r="J90" s="558"/>
      <c r="K90" s="558"/>
      <c r="L90"/>
      <c r="M90" s="13"/>
      <c r="O90" s="75" t="s">
        <v>3</v>
      </c>
      <c r="P90" s="74">
        <f t="shared" ref="P90:T94" si="20">SUM(P9,SUMIFS(F$93:F$171,$E$93:$E$171,$O90,$L$93:$L$171,"y"))</f>
        <v>601659.58027638542</v>
      </c>
      <c r="Q90" s="74">
        <f t="shared" si="20"/>
        <v>559867.56568179559</v>
      </c>
      <c r="R90" s="74">
        <f t="shared" si="20"/>
        <v>582085.4270260646</v>
      </c>
      <c r="S90" s="74">
        <f t="shared" si="20"/>
        <v>582012.28490123595</v>
      </c>
      <c r="T90" s="74">
        <f t="shared" si="20"/>
        <v>581846.13612410286</v>
      </c>
      <c r="V90" s="399"/>
      <c r="W90" s="484"/>
      <c r="X90" s="554"/>
      <c r="Y90" s="554"/>
      <c r="AA90" s="430"/>
      <c r="AB90" s="12"/>
      <c r="AC90" s="12"/>
      <c r="AD90" s="430"/>
      <c r="AE90" s="12"/>
    </row>
    <row r="91" spans="1:31" ht="72">
      <c r="A91" s="31" t="s">
        <v>0</v>
      </c>
      <c r="B91" s="31" t="s">
        <v>91</v>
      </c>
      <c r="C91" s="32" t="s">
        <v>156</v>
      </c>
      <c r="D91" s="32" t="s">
        <v>124</v>
      </c>
      <c r="E91" s="32" t="s">
        <v>108</v>
      </c>
      <c r="F91" s="559" t="s">
        <v>384</v>
      </c>
      <c r="G91" s="559"/>
      <c r="H91" s="559"/>
      <c r="I91" s="559"/>
      <c r="J91" s="559"/>
      <c r="K91" s="32" t="s">
        <v>92</v>
      </c>
      <c r="L91" s="310"/>
      <c r="M91" s="13"/>
      <c r="N91" s="13"/>
      <c r="O91" s="75" t="s">
        <v>389</v>
      </c>
      <c r="P91" s="74">
        <f t="shared" si="20"/>
        <v>80.182302790146849</v>
      </c>
      <c r="Q91" s="74">
        <f t="shared" si="20"/>
        <v>313.03090980522069</v>
      </c>
      <c r="R91" s="74">
        <f t="shared" si="20"/>
        <v>313.03090980522069</v>
      </c>
      <c r="S91" s="74">
        <f t="shared" si="20"/>
        <v>313.03090980522069</v>
      </c>
      <c r="T91" s="74">
        <f t="shared" si="20"/>
        <v>313.03090980522069</v>
      </c>
      <c r="V91" s="399"/>
      <c r="W91" s="484"/>
      <c r="X91" s="431"/>
      <c r="Y91" s="432"/>
      <c r="Z91" s="429"/>
      <c r="AB91" s="142"/>
      <c r="AC91" s="142"/>
      <c r="AE91" s="142"/>
    </row>
    <row r="92" spans="1:31">
      <c r="A92" s="150" t="s">
        <v>2</v>
      </c>
      <c r="B92" s="19"/>
      <c r="C92" s="11"/>
      <c r="D92" s="11"/>
      <c r="E92" s="11"/>
      <c r="F92" s="19">
        <v>2025</v>
      </c>
      <c r="G92" s="632">
        <v>2026</v>
      </c>
      <c r="H92" s="19">
        <v>2027</v>
      </c>
      <c r="I92" s="19">
        <v>2028</v>
      </c>
      <c r="J92" s="19">
        <v>2029</v>
      </c>
      <c r="K92" s="19"/>
      <c r="L92" s="310" t="s">
        <v>157</v>
      </c>
      <c r="M92" s="13"/>
      <c r="N92" s="14"/>
      <c r="O92" s="75" t="s">
        <v>59</v>
      </c>
      <c r="P92" s="74">
        <f t="shared" si="20"/>
        <v>111028.10550104988</v>
      </c>
      <c r="Q92" s="74">
        <f t="shared" si="20"/>
        <v>168419.18324771925</v>
      </c>
      <c r="R92" s="74">
        <f t="shared" si="20"/>
        <v>168419.18324771925</v>
      </c>
      <c r="S92" s="74">
        <f t="shared" si="20"/>
        <v>168419.18324771925</v>
      </c>
      <c r="T92" s="74">
        <f t="shared" si="20"/>
        <v>168419.18324771925</v>
      </c>
      <c r="V92" s="399"/>
      <c r="W92" s="484"/>
      <c r="X92" s="431"/>
      <c r="Y92" s="432"/>
      <c r="Z92" s="429"/>
      <c r="AB92" s="142"/>
      <c r="AC92" s="142"/>
      <c r="AE92" s="142"/>
    </row>
    <row r="93" spans="1:31">
      <c r="A93" s="608" t="s">
        <v>507</v>
      </c>
      <c r="B93" s="609" t="s">
        <v>504</v>
      </c>
      <c r="C93" s="608" t="s">
        <v>230</v>
      </c>
      <c r="D93" s="612">
        <f>SUM(F93:J93)</f>
        <v>365229.56697210664</v>
      </c>
      <c r="E93" s="608" t="s">
        <v>5</v>
      </c>
      <c r="F93" s="612"/>
      <c r="G93" s="25">
        <v>0</v>
      </c>
      <c r="H93" s="25">
        <v>121743.18899070221</v>
      </c>
      <c r="I93" s="25">
        <v>121743.18899070221</v>
      </c>
      <c r="J93" s="25">
        <v>121743.18899070221</v>
      </c>
      <c r="K93" s="609" t="s">
        <v>94</v>
      </c>
      <c r="L93" s="615" t="str">
        <f>VLOOKUP(A93,Summary!$B$7:$E$24,3,FALSE)</f>
        <v>Y</v>
      </c>
      <c r="M93" s="13"/>
      <c r="N93" s="14"/>
      <c r="O93" s="75" t="s">
        <v>5</v>
      </c>
      <c r="P93" s="74">
        <f t="shared" si="20"/>
        <v>2649676.4462597398</v>
      </c>
      <c r="Q93" s="74">
        <f t="shared" si="20"/>
        <v>2542117.6356313154</v>
      </c>
      <c r="R93" s="74">
        <f t="shared" si="20"/>
        <v>2683608.9742049631</v>
      </c>
      <c r="S93" s="74">
        <f t="shared" si="20"/>
        <v>2680937.2175813001</v>
      </c>
      <c r="T93" s="74">
        <f t="shared" si="20"/>
        <v>2672799.8357733805</v>
      </c>
      <c r="V93" s="399"/>
      <c r="W93" s="484"/>
      <c r="X93" s="431"/>
      <c r="Y93" s="432"/>
      <c r="Z93" s="429"/>
      <c r="AB93" s="142"/>
      <c r="AC93" s="142"/>
      <c r="AE93" s="142"/>
    </row>
    <row r="94" spans="1:31">
      <c r="A94" s="608" t="s">
        <v>498</v>
      </c>
      <c r="B94" s="609" t="s">
        <v>499</v>
      </c>
      <c r="C94" s="608" t="s">
        <v>230</v>
      </c>
      <c r="D94" s="617">
        <f>SUM(F94:J94)</f>
        <v>389190.19314164098</v>
      </c>
      <c r="E94" s="608" t="s">
        <v>5</v>
      </c>
      <c r="F94" s="184"/>
      <c r="G94" s="612"/>
      <c r="H94" s="612">
        <v>129730.06438054697</v>
      </c>
      <c r="I94" s="612">
        <v>129730.06438054703</v>
      </c>
      <c r="J94" s="612">
        <v>129730.064380547</v>
      </c>
      <c r="K94" s="609" t="s">
        <v>492</v>
      </c>
      <c r="L94" s="615" t="str">
        <f>VLOOKUP(A94,Summary!$B$7:$E$24,3,FALSE)</f>
        <v>Y</v>
      </c>
      <c r="M94" s="13"/>
      <c r="N94" s="14"/>
      <c r="O94" s="75" t="s">
        <v>98</v>
      </c>
      <c r="P94" s="74">
        <f t="shared" si="20"/>
        <v>-246532.22998150348</v>
      </c>
      <c r="Q94" s="74">
        <f t="shared" si="20"/>
        <v>-149108.549279297</v>
      </c>
      <c r="R94" s="74">
        <f t="shared" si="20"/>
        <v>-149108.549279297</v>
      </c>
      <c r="S94" s="74">
        <f t="shared" si="20"/>
        <v>-149108.549279297</v>
      </c>
      <c r="T94" s="74">
        <f t="shared" si="20"/>
        <v>-149108.549279297</v>
      </c>
      <c r="V94" s="399"/>
      <c r="W94" s="484"/>
    </row>
    <row r="95" spans="1:31">
      <c r="A95" s="608" t="s">
        <v>514</v>
      </c>
      <c r="B95" s="608" t="s">
        <v>503</v>
      </c>
      <c r="C95" s="608" t="s">
        <v>515</v>
      </c>
      <c r="D95" s="617">
        <f>G95</f>
        <v>67078.713444164736</v>
      </c>
      <c r="E95" s="608" t="s">
        <v>5</v>
      </c>
      <c r="F95" s="184"/>
      <c r="G95" s="612">
        <v>67078.713444164736</v>
      </c>
      <c r="H95" s="612">
        <f t="shared" ref="H95:J96" si="21">G95</f>
        <v>67078.713444164736</v>
      </c>
      <c r="I95" s="612">
        <f t="shared" si="21"/>
        <v>67078.713444164736</v>
      </c>
      <c r="J95" s="612">
        <f t="shared" si="21"/>
        <v>67078.713444164736</v>
      </c>
      <c r="K95" s="609" t="s">
        <v>492</v>
      </c>
      <c r="L95" s="615" t="str">
        <f>VLOOKUP(A95,Summary!$B$7:$E$24,3,FALSE)</f>
        <v>Y</v>
      </c>
      <c r="M95" s="13"/>
      <c r="N95" s="425"/>
      <c r="O95" s="75"/>
      <c r="P95" s="74"/>
      <c r="Q95" s="74"/>
      <c r="R95" s="74"/>
      <c r="S95" s="74"/>
      <c r="T95" s="74"/>
      <c r="V95" s="399"/>
      <c r="W95" s="484"/>
    </row>
    <row r="96" spans="1:31">
      <c r="A96" s="608" t="s">
        <v>514</v>
      </c>
      <c r="B96" s="608" t="s">
        <v>503</v>
      </c>
      <c r="C96" s="608" t="s">
        <v>515</v>
      </c>
      <c r="D96" s="617">
        <f>G96</f>
        <v>5264.3189473671764</v>
      </c>
      <c r="E96" s="608" t="s">
        <v>3</v>
      </c>
      <c r="F96" s="184"/>
      <c r="G96" s="612">
        <v>5264.3189473671764</v>
      </c>
      <c r="H96" s="612">
        <f t="shared" si="21"/>
        <v>5264.3189473671764</v>
      </c>
      <c r="I96" s="612">
        <f t="shared" si="21"/>
        <v>5264.3189473671764</v>
      </c>
      <c r="J96" s="612">
        <f t="shared" si="21"/>
        <v>5264.3189473671764</v>
      </c>
      <c r="K96" s="609" t="s">
        <v>492</v>
      </c>
      <c r="L96" s="615" t="str">
        <f>VLOOKUP(A96,Summary!$B$7:$E$24,3,FALSE)</f>
        <v>Y</v>
      </c>
      <c r="M96" s="13"/>
      <c r="N96" s="425"/>
      <c r="O96" s="75"/>
      <c r="P96" s="74"/>
      <c r="Q96" s="74"/>
      <c r="R96" s="74"/>
      <c r="S96" s="74"/>
      <c r="T96" s="74"/>
      <c r="V96" s="399"/>
      <c r="W96" s="484"/>
    </row>
    <row r="97" spans="1:31">
      <c r="A97" s="608" t="s">
        <v>527</v>
      </c>
      <c r="B97" s="608" t="s">
        <v>528</v>
      </c>
      <c r="C97" s="620" t="s">
        <v>529</v>
      </c>
      <c r="D97" s="617">
        <f>G97</f>
        <v>-3275.1273309571261</v>
      </c>
      <c r="E97" s="608" t="s">
        <v>225</v>
      </c>
      <c r="F97" s="184"/>
      <c r="G97" s="612">
        <v>-3275.1273309571261</v>
      </c>
      <c r="H97" s="612">
        <f>G97</f>
        <v>-3275.1273309571261</v>
      </c>
      <c r="I97" s="612">
        <f>H97</f>
        <v>-3275.1273309571261</v>
      </c>
      <c r="J97" s="612">
        <f>I97</f>
        <v>-3275.1273309571261</v>
      </c>
      <c r="K97" s="609" t="s">
        <v>94</v>
      </c>
      <c r="L97" s="615" t="str">
        <f>VLOOKUP(A97,Summary!$B$7:$E$24,3,FALSE)</f>
        <v>Y</v>
      </c>
      <c r="M97" s="13"/>
      <c r="N97" s="425"/>
      <c r="O97" s="75"/>
      <c r="P97" s="74"/>
      <c r="Q97" s="74"/>
      <c r="R97" s="74"/>
      <c r="S97" s="74"/>
      <c r="T97" s="74"/>
      <c r="V97" s="399"/>
      <c r="W97" s="484"/>
    </row>
    <row r="98" spans="1:31">
      <c r="A98" s="608"/>
      <c r="B98" s="608"/>
      <c r="C98" s="608"/>
      <c r="D98" s="617"/>
      <c r="E98" s="608"/>
      <c r="F98" s="184"/>
      <c r="G98" s="612"/>
      <c r="H98" s="612"/>
      <c r="I98" s="612"/>
      <c r="J98" s="612"/>
      <c r="K98" s="609"/>
      <c r="L98" s="615"/>
      <c r="M98" s="13"/>
      <c r="N98" s="425"/>
      <c r="O98" s="75"/>
      <c r="P98" s="74"/>
      <c r="Q98" s="74"/>
      <c r="R98" s="74"/>
      <c r="S98" s="74"/>
      <c r="T98" s="74"/>
      <c r="V98" s="399"/>
      <c r="W98" s="484"/>
    </row>
    <row r="99" spans="1:31">
      <c r="A99" s="619" t="s">
        <v>7</v>
      </c>
      <c r="B99" s="608"/>
      <c r="C99" s="608"/>
      <c r="D99" s="617"/>
      <c r="E99" s="614"/>
      <c r="F99" s="25"/>
      <c r="G99" s="342"/>
      <c r="H99" s="25"/>
      <c r="I99" s="25"/>
      <c r="J99" s="612"/>
      <c r="K99" s="621"/>
      <c r="L99" s="615"/>
      <c r="M99" s="13"/>
      <c r="N99" s="425"/>
      <c r="O99" s="75" t="s">
        <v>14</v>
      </c>
      <c r="P99" s="74">
        <f t="shared" ref="P99:P107" si="22">SUM(P14,SUMIFS(F$93:F$171,$E$93:$E$171,$O99,$L$93:$L$171,"y"))</f>
        <v>5662.2347651632936</v>
      </c>
      <c r="Q99" s="74">
        <f t="shared" ref="Q99:Q107" si="23">SUM(Q14,SUMIFS(G$93:G$171,$E$93:$E$171,$O99,$L$93:$L$171,"y"))</f>
        <v>-1425.1426837329054</v>
      </c>
      <c r="R99" s="74">
        <f t="shared" ref="R99:R107" si="24">SUM(R14,SUMIFS(H$93:H$171,$E$93:$E$171,$O99,$L$93:$L$171,"y"))</f>
        <v>-1425.1426837329054</v>
      </c>
      <c r="S99" s="74">
        <f t="shared" ref="S99:S107" si="25">SUM(S14,SUMIFS(I$93:I$171,$E$93:$E$171,$O99,$L$93:$L$171,"y"))</f>
        <v>-1425.1426837329054</v>
      </c>
      <c r="T99" s="74">
        <f t="shared" ref="T99:T107" si="26">SUM(T14,SUMIFS(J$93:J$171,$E$93:$E$171,$O99,$L$93:$L$171,"y"))</f>
        <v>-1425.1426837329054</v>
      </c>
      <c r="V99" s="399"/>
      <c r="W99" s="484"/>
      <c r="X99" s="29"/>
      <c r="Y99" s="29"/>
    </row>
    <row r="100" spans="1:31">
      <c r="A100" s="608" t="s">
        <v>496</v>
      </c>
      <c r="B100" s="608" t="s">
        <v>511</v>
      </c>
      <c r="C100" s="608" t="s">
        <v>230</v>
      </c>
      <c r="D100" s="617">
        <f t="shared" ref="D100:D117" si="27">G100</f>
        <v>-43356.374756225909</v>
      </c>
      <c r="E100" s="614" t="s">
        <v>3</v>
      </c>
      <c r="F100" s="25"/>
      <c r="G100" s="735">
        <v>-43356.374756225909</v>
      </c>
      <c r="H100" s="25">
        <f t="shared" ref="H100:J114" si="28">G100</f>
        <v>-43356.374756225909</v>
      </c>
      <c r="I100" s="25">
        <f t="shared" si="28"/>
        <v>-43356.374756225909</v>
      </c>
      <c r="J100" s="25">
        <f t="shared" si="28"/>
        <v>-43356.374756225909</v>
      </c>
      <c r="K100" s="609" t="s">
        <v>94</v>
      </c>
      <c r="L100" s="615" t="str">
        <f>VLOOKUP(A100,Summary!$B$7:$E$24,3,FALSE)</f>
        <v>Y</v>
      </c>
      <c r="M100" s="23"/>
      <c r="O100" s="75" t="s">
        <v>80</v>
      </c>
      <c r="P100" s="74">
        <f t="shared" si="22"/>
        <v>211.66537700000001</v>
      </c>
      <c r="Q100" s="74">
        <f t="shared" si="23"/>
        <v>-68.065970000000021</v>
      </c>
      <c r="R100" s="74">
        <f t="shared" si="24"/>
        <v>-68.065970000000021</v>
      </c>
      <c r="S100" s="74">
        <f t="shared" si="25"/>
        <v>-68.065970000000021</v>
      </c>
      <c r="T100" s="74">
        <f t="shared" si="26"/>
        <v>-68.065970000000021</v>
      </c>
      <c r="V100" s="399"/>
      <c r="W100" s="484"/>
    </row>
    <row r="101" spans="1:31">
      <c r="A101" s="608" t="s">
        <v>496</v>
      </c>
      <c r="B101" s="608" t="s">
        <v>511</v>
      </c>
      <c r="C101" s="608" t="s">
        <v>230</v>
      </c>
      <c r="D101" s="617">
        <f t="shared" si="27"/>
        <v>-76834.294836198387</v>
      </c>
      <c r="E101" s="614" t="s">
        <v>3</v>
      </c>
      <c r="F101" s="25"/>
      <c r="G101" s="735">
        <v>-76834.294836198387</v>
      </c>
      <c r="H101" s="25">
        <f t="shared" si="28"/>
        <v>-76834.294836198387</v>
      </c>
      <c r="I101" s="25">
        <f t="shared" si="28"/>
        <v>-76834.294836198387</v>
      </c>
      <c r="J101" s="25">
        <f t="shared" si="28"/>
        <v>-76834.294836198387</v>
      </c>
      <c r="K101" s="609" t="s">
        <v>94</v>
      </c>
      <c r="L101" s="615" t="str">
        <f>VLOOKUP(A101,Summary!$B$7:$E$24,3,FALSE)</f>
        <v>Y</v>
      </c>
      <c r="M101" s="23"/>
      <c r="O101" s="76" t="s">
        <v>100</v>
      </c>
      <c r="P101" s="74">
        <f t="shared" si="22"/>
        <v>398175.74160000001</v>
      </c>
      <c r="Q101" s="74">
        <f t="shared" si="23"/>
        <v>335501.39012745197</v>
      </c>
      <c r="R101" s="74">
        <f t="shared" si="24"/>
        <v>286916.82359742367</v>
      </c>
      <c r="S101" s="74">
        <f t="shared" si="25"/>
        <v>264438.71644780965</v>
      </c>
      <c r="T101" s="74">
        <f t="shared" si="26"/>
        <v>264030.55944780965</v>
      </c>
      <c r="V101" s="399"/>
      <c r="W101" s="484"/>
    </row>
    <row r="102" spans="1:31">
      <c r="A102" s="608" t="s">
        <v>496</v>
      </c>
      <c r="B102" s="608" t="s">
        <v>511</v>
      </c>
      <c r="C102" s="608" t="s">
        <v>230</v>
      </c>
      <c r="D102" s="617">
        <f t="shared" si="27"/>
        <v>-131422.39413606538</v>
      </c>
      <c r="E102" s="614" t="s">
        <v>3</v>
      </c>
      <c r="F102" s="25"/>
      <c r="G102" s="735">
        <v>-131422.39413606538</v>
      </c>
      <c r="H102" s="25">
        <f t="shared" si="28"/>
        <v>-131422.39413606538</v>
      </c>
      <c r="I102" s="25">
        <f t="shared" si="28"/>
        <v>-131422.39413606538</v>
      </c>
      <c r="J102" s="25">
        <f t="shared" si="28"/>
        <v>-131422.39413606538</v>
      </c>
      <c r="K102" s="609" t="s">
        <v>94</v>
      </c>
      <c r="L102" s="615" t="str">
        <f>VLOOKUP(A102,Summary!$B$7:$E$24,3,FALSE)</f>
        <v>Y</v>
      </c>
      <c r="M102" s="23"/>
      <c r="O102" s="75" t="s">
        <v>97</v>
      </c>
      <c r="P102" s="74">
        <f t="shared" si="22"/>
        <v>0</v>
      </c>
      <c r="Q102" s="74">
        <f t="shared" si="23"/>
        <v>0</v>
      </c>
      <c r="R102" s="74">
        <f t="shared" si="24"/>
        <v>0</v>
      </c>
      <c r="S102" s="74">
        <f t="shared" si="25"/>
        <v>0</v>
      </c>
      <c r="T102" s="74">
        <f t="shared" si="26"/>
        <v>0</v>
      </c>
      <c r="V102" s="399"/>
      <c r="W102" s="484"/>
      <c r="AE102" s="14"/>
    </row>
    <row r="103" spans="1:31">
      <c r="A103" s="608" t="s">
        <v>496</v>
      </c>
      <c r="B103" s="608" t="s">
        <v>511</v>
      </c>
      <c r="C103" s="608" t="s">
        <v>230</v>
      </c>
      <c r="D103" s="617">
        <f t="shared" si="27"/>
        <v>230236.97202757568</v>
      </c>
      <c r="E103" s="614" t="s">
        <v>3</v>
      </c>
      <c r="F103" s="25"/>
      <c r="G103" s="735">
        <v>230236.97202757568</v>
      </c>
      <c r="H103" s="25">
        <f t="shared" si="28"/>
        <v>230236.97202757568</v>
      </c>
      <c r="I103" s="25">
        <f t="shared" si="28"/>
        <v>230236.97202757568</v>
      </c>
      <c r="J103" s="25">
        <f t="shared" si="28"/>
        <v>230236.97202757568</v>
      </c>
      <c r="K103" s="609" t="s">
        <v>94</v>
      </c>
      <c r="L103" s="615" t="str">
        <f>VLOOKUP(A103,Summary!$B$7:$E$24,3,FALSE)</f>
        <v>Y</v>
      </c>
      <c r="M103" s="23"/>
      <c r="N103" s="13"/>
      <c r="O103" s="75" t="s">
        <v>256</v>
      </c>
      <c r="P103" s="74">
        <f t="shared" si="22"/>
        <v>-165929.65136068387</v>
      </c>
      <c r="Q103" s="74">
        <f t="shared" si="23"/>
        <v>358996.15171991405</v>
      </c>
      <c r="R103" s="74">
        <f t="shared" si="24"/>
        <v>339156.28319910541</v>
      </c>
      <c r="S103" s="74">
        <f t="shared" si="25"/>
        <v>339156.28319910541</v>
      </c>
      <c r="T103" s="74">
        <f t="shared" si="26"/>
        <v>339156.28319910541</v>
      </c>
      <c r="V103" s="399"/>
      <c r="W103" s="484"/>
      <c r="AE103" s="14"/>
    </row>
    <row r="104" spans="1:31">
      <c r="A104" s="608" t="s">
        <v>496</v>
      </c>
      <c r="B104" s="608" t="s">
        <v>511</v>
      </c>
      <c r="C104" s="608" t="s">
        <v>230</v>
      </c>
      <c r="D104" s="617">
        <f t="shared" si="27"/>
        <v>-2229.1016239118871</v>
      </c>
      <c r="E104" s="614" t="s">
        <v>3</v>
      </c>
      <c r="F104" s="25"/>
      <c r="G104" s="735">
        <v>-2229.1016239118871</v>
      </c>
      <c r="H104" s="25">
        <f>G104</f>
        <v>-2229.1016239118871</v>
      </c>
      <c r="I104" s="25">
        <f t="shared" si="28"/>
        <v>-2229.1016239118871</v>
      </c>
      <c r="J104" s="25">
        <f t="shared" si="28"/>
        <v>-2229.1016239118871</v>
      </c>
      <c r="K104" s="609" t="s">
        <v>94</v>
      </c>
      <c r="L104" s="615" t="str">
        <f>VLOOKUP(A104,Summary!$B$7:$E$24,3,FALSE)</f>
        <v>Y</v>
      </c>
      <c r="M104" s="23"/>
      <c r="N104" s="426"/>
      <c r="O104" s="75" t="s">
        <v>10</v>
      </c>
      <c r="P104" s="74">
        <f t="shared" si="22"/>
        <v>862705.42626704415</v>
      </c>
      <c r="Q104" s="74">
        <f t="shared" si="23"/>
        <v>1120650.1675842744</v>
      </c>
      <c r="R104" s="74">
        <f t="shared" si="24"/>
        <v>1120650.1675842744</v>
      </c>
      <c r="S104" s="74">
        <f t="shared" si="25"/>
        <v>1120650.1675842744</v>
      </c>
      <c r="T104" s="74">
        <f t="shared" si="26"/>
        <v>1120650.1675842744</v>
      </c>
      <c r="V104" s="399"/>
      <c r="W104" s="484"/>
      <c r="AE104" s="14"/>
    </row>
    <row r="105" spans="1:31">
      <c r="A105" s="608" t="s">
        <v>496</v>
      </c>
      <c r="B105" s="608" t="s">
        <v>511</v>
      </c>
      <c r="C105" s="608" t="s">
        <v>230</v>
      </c>
      <c r="D105" s="617">
        <f t="shared" si="27"/>
        <v>97423.680702206475</v>
      </c>
      <c r="E105" s="614" t="s">
        <v>98</v>
      </c>
      <c r="F105" s="25"/>
      <c r="G105" s="735">
        <v>97423.680702206475</v>
      </c>
      <c r="H105" s="25">
        <f t="shared" si="28"/>
        <v>97423.680702206475</v>
      </c>
      <c r="I105" s="25">
        <f t="shared" si="28"/>
        <v>97423.680702206475</v>
      </c>
      <c r="J105" s="25">
        <f t="shared" si="28"/>
        <v>97423.680702206475</v>
      </c>
      <c r="K105" s="609" t="s">
        <v>94</v>
      </c>
      <c r="L105" s="615" t="str">
        <f>VLOOKUP(A105,Summary!$B$7:$E$24,3,FALSE)</f>
        <v>Y</v>
      </c>
      <c r="M105" s="23"/>
      <c r="O105" s="75" t="s">
        <v>87</v>
      </c>
      <c r="P105" s="74">
        <f t="shared" si="22"/>
        <v>178.76388774267036</v>
      </c>
      <c r="Q105" s="74">
        <f t="shared" si="23"/>
        <v>178.76388774267036</v>
      </c>
      <c r="R105" s="74">
        <f t="shared" si="24"/>
        <v>178.76388774267036</v>
      </c>
      <c r="S105" s="74">
        <f t="shared" si="25"/>
        <v>178.76388774267036</v>
      </c>
      <c r="T105" s="74">
        <f t="shared" si="26"/>
        <v>178.76388774267036</v>
      </c>
      <c r="V105" s="399"/>
      <c r="W105" s="484"/>
      <c r="AE105" s="14"/>
    </row>
    <row r="106" spans="1:31">
      <c r="A106" s="608" t="s">
        <v>496</v>
      </c>
      <c r="B106" s="608" t="s">
        <v>511</v>
      </c>
      <c r="C106" s="608" t="s">
        <v>230</v>
      </c>
      <c r="D106" s="617">
        <f t="shared" si="27"/>
        <v>-1754.1373618961993</v>
      </c>
      <c r="E106" s="614" t="s">
        <v>14</v>
      </c>
      <c r="F106" s="25"/>
      <c r="G106" s="735">
        <v>-1754.1373618961993</v>
      </c>
      <c r="H106" s="25">
        <f t="shared" si="28"/>
        <v>-1754.1373618961993</v>
      </c>
      <c r="I106" s="25">
        <f t="shared" si="28"/>
        <v>-1754.1373618961993</v>
      </c>
      <c r="J106" s="25">
        <f t="shared" si="28"/>
        <v>-1754.1373618961993</v>
      </c>
      <c r="K106" s="609" t="s">
        <v>94</v>
      </c>
      <c r="L106" s="615" t="str">
        <f>VLOOKUP(A106,Summary!$B$7:$E$24,3,FALSE)</f>
        <v>Y</v>
      </c>
      <c r="M106" s="23"/>
      <c r="O106" s="75" t="s">
        <v>78</v>
      </c>
      <c r="P106" s="74">
        <f t="shared" si="22"/>
        <v>0</v>
      </c>
      <c r="Q106" s="74">
        <f t="shared" si="23"/>
        <v>0</v>
      </c>
      <c r="R106" s="74">
        <f t="shared" si="24"/>
        <v>0</v>
      </c>
      <c r="S106" s="74">
        <f t="shared" si="25"/>
        <v>0</v>
      </c>
      <c r="T106" s="74">
        <f t="shared" si="26"/>
        <v>0</v>
      </c>
      <c r="V106" s="399"/>
      <c r="W106" s="484"/>
      <c r="AE106" s="14"/>
    </row>
    <row r="107" spans="1:31">
      <c r="A107" s="608" t="s">
        <v>496</v>
      </c>
      <c r="B107" s="608" t="s">
        <v>511</v>
      </c>
      <c r="C107" s="608" t="s">
        <v>230</v>
      </c>
      <c r="D107" s="741"/>
      <c r="E107" s="614" t="s">
        <v>100</v>
      </c>
      <c r="F107" s="25"/>
      <c r="G107" s="742"/>
      <c r="H107" s="743"/>
      <c r="I107" s="743"/>
      <c r="J107" s="743"/>
      <c r="K107" s="609" t="s">
        <v>94</v>
      </c>
      <c r="L107" s="615" t="str">
        <f>VLOOKUP(A107,Summary!$B$7:$E$24,3,FALSE)</f>
        <v>Y</v>
      </c>
      <c r="M107" s="23"/>
      <c r="O107" s="75" t="s">
        <v>225</v>
      </c>
      <c r="P107" s="74">
        <f t="shared" si="22"/>
        <v>91816.684925380512</v>
      </c>
      <c r="Q107" s="74">
        <f t="shared" si="23"/>
        <v>88541.557594423386</v>
      </c>
      <c r="R107" s="74">
        <f t="shared" si="24"/>
        <v>88541.557594423386</v>
      </c>
      <c r="S107" s="74">
        <f t="shared" si="25"/>
        <v>88541.557594423386</v>
      </c>
      <c r="T107" s="74">
        <f t="shared" si="26"/>
        <v>88541.557594423386</v>
      </c>
      <c r="V107" s="399"/>
      <c r="W107" s="484"/>
      <c r="AE107" s="14"/>
    </row>
    <row r="108" spans="1:31">
      <c r="A108" s="608" t="s">
        <v>496</v>
      </c>
      <c r="B108" s="608" t="s">
        <v>511</v>
      </c>
      <c r="C108" s="608" t="s">
        <v>230</v>
      </c>
      <c r="D108" s="617">
        <f t="shared" si="27"/>
        <v>56522.696275760565</v>
      </c>
      <c r="E108" s="614" t="s">
        <v>59</v>
      </c>
      <c r="F108" s="25"/>
      <c r="G108" s="735">
        <v>56522.696275760565</v>
      </c>
      <c r="H108" s="25">
        <f>G108</f>
        <v>56522.696275760565</v>
      </c>
      <c r="I108" s="25">
        <f t="shared" si="28"/>
        <v>56522.696275760565</v>
      </c>
      <c r="J108" s="25">
        <f t="shared" si="28"/>
        <v>56522.696275760565</v>
      </c>
      <c r="K108" s="609" t="s">
        <v>94</v>
      </c>
      <c r="L108" s="615" t="str">
        <f>VLOOKUP(A108,Summary!$B$7:$E$24,3,FALSE)</f>
        <v>Y</v>
      </c>
      <c r="M108" s="612"/>
      <c r="O108" s="75" t="s">
        <v>113</v>
      </c>
      <c r="P108" s="74">
        <f>SUM(P90:P107)</f>
        <v>4308732.9498201078</v>
      </c>
      <c r="Q108" s="74">
        <f>SUM(Q90:Q107)</f>
        <v>5023983.6884514121</v>
      </c>
      <c r="R108" s="74">
        <f>SUM(R90:R107)</f>
        <v>5119268.4533184916</v>
      </c>
      <c r="S108" s="74">
        <f>SUM(S90:S107)</f>
        <v>5094045.4474203866</v>
      </c>
      <c r="T108" s="74">
        <f>SUM(T90:T107)</f>
        <v>5085333.7598353336</v>
      </c>
      <c r="V108" s="525"/>
      <c r="W108" s="484"/>
    </row>
    <row r="109" spans="1:31">
      <c r="A109" s="608" t="s">
        <v>496</v>
      </c>
      <c r="B109" s="608" t="s">
        <v>511</v>
      </c>
      <c r="C109" s="608" t="s">
        <v>230</v>
      </c>
      <c r="D109" s="617">
        <f t="shared" si="27"/>
        <v>868.3814709087892</v>
      </c>
      <c r="E109" s="614" t="s">
        <v>59</v>
      </c>
      <c r="F109" s="25"/>
      <c r="G109" s="735">
        <v>868.3814709087892</v>
      </c>
      <c r="H109" s="25">
        <f t="shared" si="28"/>
        <v>868.3814709087892</v>
      </c>
      <c r="I109" s="25">
        <f t="shared" si="28"/>
        <v>868.3814709087892</v>
      </c>
      <c r="J109" s="25">
        <f t="shared" si="28"/>
        <v>868.3814709087892</v>
      </c>
      <c r="K109" s="609" t="s">
        <v>94</v>
      </c>
      <c r="L109" s="615" t="str">
        <f>VLOOKUP(A109,Summary!$B$7:$E$24,3,FALSE)</f>
        <v>Y</v>
      </c>
      <c r="M109" s="612"/>
      <c r="O109" s="75"/>
      <c r="P109" s="74"/>
      <c r="Q109" s="74"/>
      <c r="R109" s="74"/>
      <c r="S109" s="74"/>
      <c r="T109" s="74"/>
      <c r="V109" s="26"/>
      <c r="W109" s="26"/>
      <c r="X109" s="26"/>
      <c r="Y109" s="26"/>
      <c r="Z109" s="26"/>
      <c r="AA109" s="26"/>
      <c r="AB109" s="26"/>
      <c r="AC109" s="26"/>
    </row>
    <row r="110" spans="1:31">
      <c r="A110" s="608" t="s">
        <v>496</v>
      </c>
      <c r="B110" s="608" t="s">
        <v>511</v>
      </c>
      <c r="C110" s="608" t="s">
        <v>230</v>
      </c>
      <c r="D110" s="617">
        <f t="shared" si="27"/>
        <v>142789.79362397507</v>
      </c>
      <c r="E110" s="614" t="s">
        <v>256</v>
      </c>
      <c r="F110" s="25"/>
      <c r="G110" s="735">
        <v>142789.79362397507</v>
      </c>
      <c r="H110" s="25">
        <f>G110</f>
        <v>142789.79362397507</v>
      </c>
      <c r="I110" s="25">
        <f t="shared" si="28"/>
        <v>142789.79362397507</v>
      </c>
      <c r="J110" s="25">
        <f t="shared" si="28"/>
        <v>142789.79362397507</v>
      </c>
      <c r="K110" s="609" t="s">
        <v>94</v>
      </c>
      <c r="L110" s="615" t="str">
        <f>VLOOKUP(A110,Summary!$B$7:$E$24,3,FALSE)</f>
        <v>Y</v>
      </c>
      <c r="M110" s="612"/>
      <c r="O110" s="77" t="s">
        <v>160</v>
      </c>
      <c r="P110" s="12">
        <f>P108-P23</f>
        <v>0</v>
      </c>
      <c r="Q110" s="12">
        <f>Q108-Q23</f>
        <v>711793.27577623632</v>
      </c>
      <c r="R110" s="12">
        <f>R108-R23</f>
        <v>931328.90839190595</v>
      </c>
      <c r="S110" s="12">
        <f>S108-S23</f>
        <v>931456.36042229226</v>
      </c>
      <c r="T110" s="12">
        <f>T108-T23</f>
        <v>931048.20342229214</v>
      </c>
    </row>
    <row r="111" spans="1:31">
      <c r="A111" s="608" t="s">
        <v>496</v>
      </c>
      <c r="B111" s="608" t="s">
        <v>511</v>
      </c>
      <c r="C111" s="608" t="s">
        <v>230</v>
      </c>
      <c r="D111" s="617">
        <f t="shared" si="27"/>
        <v>386776.86709781282</v>
      </c>
      <c r="E111" s="614" t="s">
        <v>256</v>
      </c>
      <c r="F111" s="25"/>
      <c r="G111" s="735">
        <v>386776.86709781282</v>
      </c>
      <c r="H111" s="25">
        <f t="shared" si="28"/>
        <v>386776.86709781282</v>
      </c>
      <c r="I111" s="25">
        <f t="shared" si="28"/>
        <v>386776.86709781282</v>
      </c>
      <c r="J111" s="25">
        <f t="shared" si="28"/>
        <v>386776.86709781282</v>
      </c>
      <c r="K111" s="609" t="s">
        <v>94</v>
      </c>
      <c r="L111" s="615" t="str">
        <f>VLOOKUP(A111,Summary!$B$7:$E$24,3,FALSE)</f>
        <v>Y</v>
      </c>
      <c r="M111" s="612"/>
      <c r="O111" s="12" t="s">
        <v>250</v>
      </c>
      <c r="P111" s="458">
        <f>'Sales Allocations &amp; CCC'!S3</f>
        <v>8.0000000000000004E-4</v>
      </c>
      <c r="Q111" s="12"/>
      <c r="R111" s="12"/>
      <c r="S111" s="12"/>
      <c r="T111" s="12"/>
      <c r="V111" s="23"/>
      <c r="W111" s="23"/>
      <c r="X111" s="23"/>
      <c r="Y111" s="23"/>
      <c r="Z111" s="23"/>
      <c r="AA111" s="23"/>
      <c r="AB111" s="23"/>
      <c r="AC111" s="23"/>
    </row>
    <row r="112" spans="1:31">
      <c r="A112" s="608" t="s">
        <v>496</v>
      </c>
      <c r="B112" s="608" t="s">
        <v>511</v>
      </c>
      <c r="C112" s="608" t="s">
        <v>230</v>
      </c>
      <c r="D112" s="617">
        <f t="shared" si="27"/>
        <v>-7369.6605196006794</v>
      </c>
      <c r="E112" s="614" t="s">
        <v>256</v>
      </c>
      <c r="F112" s="25"/>
      <c r="G112" s="735">
        <v>-7369.6605196006794</v>
      </c>
      <c r="H112" s="25">
        <f t="shared" si="28"/>
        <v>-7369.6605196006794</v>
      </c>
      <c r="I112" s="25">
        <f t="shared" si="28"/>
        <v>-7369.6605196006794</v>
      </c>
      <c r="J112" s="25">
        <f t="shared" si="28"/>
        <v>-7369.6605196006794</v>
      </c>
      <c r="K112" s="609" t="s">
        <v>94</v>
      </c>
      <c r="L112" s="615" t="str">
        <f>VLOOKUP(A112,Summary!$B$7:$E$24,3,FALSE)</f>
        <v>Y</v>
      </c>
      <c r="M112" s="612"/>
      <c r="O112" s="12"/>
      <c r="P112" s="234"/>
      <c r="Q112" s="12"/>
      <c r="R112" s="12"/>
      <c r="S112" s="12"/>
      <c r="T112" s="12"/>
    </row>
    <row r="113" spans="1:29" ht="15.6">
      <c r="A113" s="608" t="s">
        <v>496</v>
      </c>
      <c r="B113" s="608" t="s">
        <v>511</v>
      </c>
      <c r="C113" s="608" t="s">
        <v>230</v>
      </c>
      <c r="D113" s="617">
        <f t="shared" si="27"/>
        <v>232.84860701507384</v>
      </c>
      <c r="E113" s="614" t="s">
        <v>389</v>
      </c>
      <c r="F113" s="25"/>
      <c r="G113" s="735">
        <v>232.84860701507384</v>
      </c>
      <c r="H113" s="25">
        <f t="shared" si="28"/>
        <v>232.84860701507384</v>
      </c>
      <c r="I113" s="25">
        <f t="shared" si="28"/>
        <v>232.84860701507384</v>
      </c>
      <c r="J113" s="25">
        <f t="shared" si="28"/>
        <v>232.84860701507384</v>
      </c>
      <c r="K113" s="609" t="s">
        <v>94</v>
      </c>
      <c r="L113" s="615" t="str">
        <f>VLOOKUP(A113,Summary!$B$7:$E$24,3,FALSE)</f>
        <v>Y</v>
      </c>
      <c r="M113" s="612"/>
      <c r="O113" s="294"/>
      <c r="P113" s="295"/>
      <c r="Q113" s="295"/>
      <c r="R113" s="295"/>
      <c r="S113" s="295"/>
      <c r="T113" s="295"/>
    </row>
    <row r="114" spans="1:29" ht="15.6">
      <c r="A114" s="608" t="s">
        <v>496</v>
      </c>
      <c r="B114" s="608" t="s">
        <v>511</v>
      </c>
      <c r="C114" s="608" t="s">
        <v>230</v>
      </c>
      <c r="D114" s="617">
        <f t="shared" si="27"/>
        <v>2728.8028784106391</v>
      </c>
      <c r="E114" s="614" t="s">
        <v>256</v>
      </c>
      <c r="F114" s="25"/>
      <c r="G114" s="735">
        <v>2728.8028784106391</v>
      </c>
      <c r="H114" s="25">
        <f>G114</f>
        <v>2728.8028784106391</v>
      </c>
      <c r="I114" s="25">
        <f t="shared" si="28"/>
        <v>2728.8028784106391</v>
      </c>
      <c r="J114" s="25">
        <f t="shared" si="28"/>
        <v>2728.8028784106391</v>
      </c>
      <c r="K114" s="609" t="s">
        <v>94</v>
      </c>
      <c r="L114" s="615" t="str">
        <f>VLOOKUP(A114,Summary!$B$7:$E$24,3,FALSE)</f>
        <v>Y</v>
      </c>
      <c r="M114" s="612"/>
      <c r="O114" s="294"/>
      <c r="P114" s="295"/>
      <c r="Q114" s="295"/>
      <c r="R114" s="295"/>
      <c r="S114" s="295"/>
      <c r="T114" s="295"/>
    </row>
    <row r="115" spans="1:29">
      <c r="A115" s="622" t="s">
        <v>352</v>
      </c>
      <c r="B115" s="622" t="s">
        <v>353</v>
      </c>
      <c r="C115" s="623" t="s">
        <v>534</v>
      </c>
      <c r="D115" s="617">
        <f t="shared" si="27"/>
        <v>0</v>
      </c>
      <c r="E115" s="623" t="s">
        <v>5</v>
      </c>
      <c r="F115" s="624"/>
      <c r="G115" s="624"/>
      <c r="H115" s="624"/>
      <c r="I115" s="624"/>
      <c r="J115" s="617"/>
      <c r="K115" s="609" t="s">
        <v>492</v>
      </c>
      <c r="L115" s="615" t="str">
        <f>VLOOKUP(A115,Summary!$B$7:$E$24,3,FALSE)</f>
        <v>Y</v>
      </c>
      <c r="M115" s="608"/>
      <c r="O115" s="23"/>
    </row>
    <row r="116" spans="1:29" ht="14.4" customHeight="1">
      <c r="A116" s="608" t="s">
        <v>495</v>
      </c>
      <c r="B116" s="608" t="s">
        <v>500</v>
      </c>
      <c r="C116" s="608" t="s">
        <v>501</v>
      </c>
      <c r="D116" s="617">
        <f t="shared" si="27"/>
        <v>0</v>
      </c>
      <c r="E116" s="608" t="s">
        <v>5</v>
      </c>
      <c r="F116" s="184"/>
      <c r="G116" s="612">
        <v>0</v>
      </c>
      <c r="H116" s="612">
        <v>1101.9599000000001</v>
      </c>
      <c r="I116" s="612"/>
      <c r="J116" s="612"/>
      <c r="K116" s="609" t="s">
        <v>492</v>
      </c>
      <c r="L116" s="615" t="str">
        <f>VLOOKUP(A116,Summary!$B$7:$E$24,3,FALSE)</f>
        <v>Y</v>
      </c>
      <c r="M116" s="608"/>
    </row>
    <row r="117" spans="1:29">
      <c r="A117" s="608" t="s">
        <v>495</v>
      </c>
      <c r="B117" s="608" t="s">
        <v>500</v>
      </c>
      <c r="C117" s="608" t="s">
        <v>501</v>
      </c>
      <c r="D117" s="617">
        <f t="shared" si="27"/>
        <v>0</v>
      </c>
      <c r="E117" s="608" t="s">
        <v>3</v>
      </c>
      <c r="F117" s="184"/>
      <c r="G117" s="612">
        <v>0</v>
      </c>
      <c r="H117" s="612">
        <v>73.145520000000005</v>
      </c>
      <c r="I117" s="612"/>
      <c r="J117" s="612"/>
      <c r="K117" s="609" t="s">
        <v>492</v>
      </c>
      <c r="L117" s="615" t="str">
        <f>VLOOKUP(A117,Summary!$B$7:$E$24,3,FALSE)</f>
        <v>Y</v>
      </c>
      <c r="M117" s="614"/>
    </row>
    <row r="118" spans="1:29">
      <c r="A118" s="608" t="s">
        <v>506</v>
      </c>
      <c r="B118" s="625" t="s">
        <v>520</v>
      </c>
      <c r="C118" s="608" t="s">
        <v>501</v>
      </c>
      <c r="D118" s="617">
        <f>G118</f>
        <v>-33522.440187542234</v>
      </c>
      <c r="E118" s="608" t="s">
        <v>100</v>
      </c>
      <c r="F118" s="612"/>
      <c r="G118" s="612">
        <v>-33522.440187542234</v>
      </c>
      <c r="H118" s="612">
        <f>G118</f>
        <v>-33522.440187542234</v>
      </c>
      <c r="I118" s="612">
        <f>H118</f>
        <v>-33522.440187542234</v>
      </c>
      <c r="J118" s="612">
        <f>I118</f>
        <v>-33522.440187542234</v>
      </c>
      <c r="K118" s="609" t="s">
        <v>94</v>
      </c>
      <c r="L118" s="615" t="str">
        <f>VLOOKUP(A118,Summary!$B$7:$E$24,3,FALSE)</f>
        <v>Y</v>
      </c>
      <c r="M118" s="614"/>
    </row>
    <row r="119" spans="1:29">
      <c r="A119" s="608" t="s">
        <v>506</v>
      </c>
      <c r="B119" s="625" t="s">
        <v>520</v>
      </c>
      <c r="C119" s="608" t="s">
        <v>501</v>
      </c>
      <c r="D119" s="617">
        <f t="shared" ref="D119:D128" si="29">G119</f>
        <v>-1788.4010625043366</v>
      </c>
      <c r="E119" s="608" t="s">
        <v>5</v>
      </c>
      <c r="F119" s="612"/>
      <c r="G119" s="612">
        <v>-1788.4010625043366</v>
      </c>
      <c r="H119" s="612">
        <f t="shared" ref="H119:J119" si="30">G119</f>
        <v>-1788.4010625043366</v>
      </c>
      <c r="I119" s="612">
        <f t="shared" si="30"/>
        <v>-1788.4010625043366</v>
      </c>
      <c r="J119" s="612">
        <f t="shared" si="30"/>
        <v>-1788.4010625043366</v>
      </c>
      <c r="K119" s="609" t="s">
        <v>94</v>
      </c>
      <c r="L119" s="615" t="str">
        <f>VLOOKUP(A119,Summary!$B$7:$E$24,3,FALSE)</f>
        <v>Y</v>
      </c>
      <c r="M119" s="614"/>
      <c r="N119" s="33"/>
      <c r="P119" s="33"/>
      <c r="Q119" s="33"/>
      <c r="R119" s="33"/>
      <c r="S119" s="33"/>
      <c r="T119" s="33"/>
      <c r="U119" s="33"/>
      <c r="V119" s="29"/>
      <c r="W119" s="29"/>
      <c r="X119" s="29"/>
      <c r="Y119" s="29"/>
      <c r="Z119" s="29"/>
      <c r="AA119" s="29"/>
      <c r="AB119" s="29"/>
      <c r="AC119" s="29"/>
    </row>
    <row r="120" spans="1:29">
      <c r="A120" s="608" t="s">
        <v>522</v>
      </c>
      <c r="B120" s="608" t="s">
        <v>535</v>
      </c>
      <c r="C120" s="608" t="s">
        <v>501</v>
      </c>
      <c r="D120" s="617">
        <f t="shared" si="29"/>
        <v>-170610.20341851044</v>
      </c>
      <c r="E120" s="608" t="s">
        <v>5</v>
      </c>
      <c r="F120" s="187"/>
      <c r="G120" s="342">
        <v>-170610.20341851044</v>
      </c>
      <c r="H120" s="612">
        <f t="shared" ref="H120:J120" si="31">G120</f>
        <v>-170610.20341851044</v>
      </c>
      <c r="I120" s="612">
        <f t="shared" si="31"/>
        <v>-170610.20341851044</v>
      </c>
      <c r="J120" s="612">
        <f t="shared" si="31"/>
        <v>-170610.20341851044</v>
      </c>
      <c r="K120" s="609" t="s">
        <v>94</v>
      </c>
      <c r="L120" s="615" t="str">
        <f>VLOOKUP(A120,Summary!$B$7:$E$24,3,FALSE)</f>
        <v>Y</v>
      </c>
      <c r="M120" s="614"/>
      <c r="N120" s="33"/>
      <c r="P120" s="33"/>
      <c r="Q120" s="33"/>
      <c r="R120" s="33"/>
      <c r="S120" s="33"/>
      <c r="T120" s="33"/>
      <c r="U120" s="33"/>
      <c r="V120" s="29"/>
      <c r="W120" s="29"/>
      <c r="X120" s="29"/>
      <c r="Y120" s="29"/>
      <c r="Z120" s="29"/>
      <c r="AA120" s="29"/>
      <c r="AB120" s="29"/>
      <c r="AC120" s="29"/>
    </row>
    <row r="121" spans="1:29">
      <c r="A121" s="608" t="s">
        <v>522</v>
      </c>
      <c r="B121" s="608" t="s">
        <v>535</v>
      </c>
      <c r="C121" s="608" t="s">
        <v>501</v>
      </c>
      <c r="D121" s="617">
        <f t="shared" si="29"/>
        <v>-2598.839845</v>
      </c>
      <c r="E121" s="608" t="s">
        <v>3</v>
      </c>
      <c r="F121" s="187"/>
      <c r="G121" s="342">
        <v>-2598.839845</v>
      </c>
      <c r="H121" s="612">
        <f t="shared" ref="H121:J121" si="32">G121</f>
        <v>-2598.839845</v>
      </c>
      <c r="I121" s="612">
        <f t="shared" si="32"/>
        <v>-2598.839845</v>
      </c>
      <c r="J121" s="612">
        <f t="shared" si="32"/>
        <v>-2598.839845</v>
      </c>
      <c r="K121" s="609" t="s">
        <v>94</v>
      </c>
      <c r="L121" s="615" t="str">
        <f>VLOOKUP(A121,Summary!$B$7:$E$24,3,FALSE)</f>
        <v>Y</v>
      </c>
      <c r="M121" s="614"/>
      <c r="N121" s="33"/>
    </row>
    <row r="122" spans="1:29">
      <c r="A122" s="608" t="s">
        <v>522</v>
      </c>
      <c r="B122" s="608" t="s">
        <v>535</v>
      </c>
      <c r="C122" s="608" t="s">
        <v>501</v>
      </c>
      <c r="D122" s="617">
        <f t="shared" si="29"/>
        <v>-279.73134700000003</v>
      </c>
      <c r="E122" s="608" t="s">
        <v>80</v>
      </c>
      <c r="F122" s="187"/>
      <c r="G122" s="342">
        <v>-279.73134700000003</v>
      </c>
      <c r="H122" s="612">
        <f t="shared" ref="H122:J122" si="33">G122</f>
        <v>-279.73134700000003</v>
      </c>
      <c r="I122" s="612">
        <f t="shared" si="33"/>
        <v>-279.73134700000003</v>
      </c>
      <c r="J122" s="612">
        <f t="shared" si="33"/>
        <v>-279.73134700000003</v>
      </c>
      <c r="K122" s="609" t="s">
        <v>94</v>
      </c>
      <c r="L122" s="615" t="str">
        <f>VLOOKUP(A122,Summary!$B$7:$E$24,3,FALSE)</f>
        <v>Y</v>
      </c>
      <c r="M122" s="614"/>
      <c r="N122" s="33"/>
    </row>
    <row r="123" spans="1:29">
      <c r="A123" s="608" t="s">
        <v>522</v>
      </c>
      <c r="B123" s="608" t="s">
        <v>535</v>
      </c>
      <c r="C123" s="608" t="s">
        <v>501</v>
      </c>
      <c r="D123" s="617">
        <f t="shared" si="29"/>
        <v>-5333.2400870000001</v>
      </c>
      <c r="E123" s="608" t="s">
        <v>14</v>
      </c>
      <c r="F123" s="187"/>
      <c r="G123" s="342">
        <v>-5333.2400870000001</v>
      </c>
      <c r="H123" s="612">
        <f t="shared" ref="H123:J123" si="34">G123</f>
        <v>-5333.2400870000001</v>
      </c>
      <c r="I123" s="612">
        <f t="shared" si="34"/>
        <v>-5333.2400870000001</v>
      </c>
      <c r="J123" s="612">
        <f t="shared" si="34"/>
        <v>-5333.2400870000001</v>
      </c>
      <c r="K123" s="609" t="s">
        <v>94</v>
      </c>
      <c r="L123" s="615" t="str">
        <f>VLOOKUP(A123,Summary!$B$7:$E$24,3,FALSE)</f>
        <v>Y</v>
      </c>
      <c r="M123" s="614"/>
      <c r="N123" s="33"/>
    </row>
    <row r="124" spans="1:29">
      <c r="A124" s="608" t="s">
        <v>523</v>
      </c>
      <c r="B124" s="608" t="s">
        <v>535</v>
      </c>
      <c r="C124" s="608" t="s">
        <v>501</v>
      </c>
      <c r="D124" s="617">
        <f t="shared" si="29"/>
        <v>-27311.527499131163</v>
      </c>
      <c r="E124" s="608" t="s">
        <v>3</v>
      </c>
      <c r="F124" s="187"/>
      <c r="G124" s="342">
        <v>-27311.527499131163</v>
      </c>
      <c r="H124" s="612">
        <f t="shared" ref="H124:J124" si="35">G124</f>
        <v>-27311.527499131163</v>
      </c>
      <c r="I124" s="612">
        <f t="shared" si="35"/>
        <v>-27311.527499131163</v>
      </c>
      <c r="J124" s="612">
        <f t="shared" si="35"/>
        <v>-27311.527499131163</v>
      </c>
      <c r="K124" s="609" t="s">
        <v>94</v>
      </c>
      <c r="L124" s="615" t="str">
        <f>VLOOKUP(A124,Summary!$B$7:$E$24,3,FALSE)</f>
        <v>Y</v>
      </c>
      <c r="M124" s="614"/>
      <c r="N124" s="33"/>
    </row>
    <row r="125" spans="1:29">
      <c r="A125" s="608" t="s">
        <v>524</v>
      </c>
      <c r="B125" s="608"/>
      <c r="C125" s="608" t="s">
        <v>501</v>
      </c>
      <c r="D125" s="617">
        <f t="shared" si="29"/>
        <v>0</v>
      </c>
      <c r="E125" s="608" t="s">
        <v>78</v>
      </c>
      <c r="F125" s="187"/>
      <c r="G125" s="342">
        <v>0</v>
      </c>
      <c r="H125" s="612">
        <f t="shared" ref="H125:J125" si="36">G125</f>
        <v>0</v>
      </c>
      <c r="I125" s="612">
        <f t="shared" si="36"/>
        <v>0</v>
      </c>
      <c r="J125" s="612">
        <f t="shared" si="36"/>
        <v>0</v>
      </c>
      <c r="K125" s="609" t="s">
        <v>94</v>
      </c>
      <c r="L125" s="615" t="str">
        <f>VLOOKUP(A126,Summary!$B$7:$E$24,3,FALSE)</f>
        <v>Y</v>
      </c>
      <c r="M125" s="614"/>
      <c r="N125" s="33"/>
    </row>
    <row r="126" spans="1:29">
      <c r="A126" s="608" t="s">
        <v>525</v>
      </c>
      <c r="B126" s="608"/>
      <c r="C126" s="608" t="s">
        <v>501</v>
      </c>
      <c r="D126" s="617">
        <f t="shared" si="29"/>
        <v>406.35193000008917</v>
      </c>
      <c r="E126" s="608" t="s">
        <v>3</v>
      </c>
      <c r="F126" s="187"/>
      <c r="G126" s="342">
        <v>406.35193000008917</v>
      </c>
      <c r="H126" s="612">
        <f t="shared" ref="H126:J126" si="37">G126</f>
        <v>406.35193000008917</v>
      </c>
      <c r="I126" s="612">
        <f t="shared" si="37"/>
        <v>406.35193000008917</v>
      </c>
      <c r="J126" s="612">
        <f t="shared" si="37"/>
        <v>406.35193000008917</v>
      </c>
      <c r="K126" s="609" t="s">
        <v>94</v>
      </c>
      <c r="L126" s="615" t="str">
        <f>VLOOKUP(A126,Summary!$B$7:$E$24,3,FALSE)</f>
        <v>Y</v>
      </c>
      <c r="M126" s="614"/>
      <c r="N126" s="33"/>
    </row>
    <row r="127" spans="1:29">
      <c r="A127" s="608" t="s">
        <v>526</v>
      </c>
      <c r="B127" s="608"/>
      <c r="C127" s="608" t="s">
        <v>501</v>
      </c>
      <c r="D127" s="617">
        <f t="shared" si="29"/>
        <v>-1017.1281700000011</v>
      </c>
      <c r="E127" s="608" t="s">
        <v>3</v>
      </c>
      <c r="F127" s="187"/>
      <c r="G127" s="342">
        <v>-1017.1281700000011</v>
      </c>
      <c r="H127" s="612">
        <f t="shared" ref="H127:J128" si="38">G127</f>
        <v>-1017.1281700000011</v>
      </c>
      <c r="I127" s="612">
        <f t="shared" si="38"/>
        <v>-1017.1281700000011</v>
      </c>
      <c r="J127" s="612">
        <f t="shared" si="38"/>
        <v>-1017.1281700000011</v>
      </c>
      <c r="K127" s="609" t="s">
        <v>94</v>
      </c>
      <c r="L127" s="615" t="str">
        <f>VLOOKUP(A127,Summary!$B$7:$E$24,3,FALSE)</f>
        <v>Y</v>
      </c>
      <c r="M127" s="614"/>
      <c r="N127" s="33"/>
    </row>
    <row r="128" spans="1:29">
      <c r="A128" s="608" t="s">
        <v>477</v>
      </c>
      <c r="B128" s="608" t="s">
        <v>505</v>
      </c>
      <c r="C128" s="608" t="s">
        <v>230</v>
      </c>
      <c r="D128" s="617">
        <f t="shared" si="29"/>
        <v>-27778.290364648128</v>
      </c>
      <c r="E128" s="608" t="s">
        <v>100</v>
      </c>
      <c r="F128" s="187"/>
      <c r="G128" s="342">
        <v>-27778.290364648128</v>
      </c>
      <c r="H128" s="612">
        <f>G128</f>
        <v>-27778.290364648128</v>
      </c>
      <c r="I128" s="612">
        <f t="shared" si="38"/>
        <v>-27778.290364648128</v>
      </c>
      <c r="J128" s="612">
        <f t="shared" si="38"/>
        <v>-27778.290364648128</v>
      </c>
      <c r="K128" s="609" t="s">
        <v>94</v>
      </c>
      <c r="L128" s="615" t="str">
        <f>VLOOKUP(A128,Summary!$B$7:$E$24,3,FALSE)</f>
        <v>Y</v>
      </c>
      <c r="M128" s="614"/>
      <c r="N128" s="33"/>
    </row>
    <row r="129" spans="1:29">
      <c r="A129" s="608" t="s">
        <v>101</v>
      </c>
      <c r="B129" s="625" t="s">
        <v>497</v>
      </c>
      <c r="C129" s="608" t="s">
        <v>230</v>
      </c>
      <c r="D129" s="617">
        <f>SUM(F129:J129)</f>
        <v>-97141.220625964954</v>
      </c>
      <c r="E129" s="614" t="s">
        <v>100</v>
      </c>
      <c r="F129" s="612"/>
      <c r="G129" s="617"/>
      <c r="H129" s="617">
        <v>-33112.726175578973</v>
      </c>
      <c r="I129" s="617">
        <v>-31810.168725192991</v>
      </c>
      <c r="J129" s="617">
        <v>-32218.32572519299</v>
      </c>
      <c r="K129" s="627" t="s">
        <v>94</v>
      </c>
      <c r="L129" s="628" t="str">
        <f>VLOOKUP(A129,Summary!$B$7:$E$24,3,FALSE)</f>
        <v>Y</v>
      </c>
      <c r="M129" s="614"/>
      <c r="N129" s="33"/>
    </row>
    <row r="130" spans="1:29">
      <c r="A130" s="608"/>
      <c r="B130" s="625"/>
      <c r="C130" s="608"/>
      <c r="D130" s="612"/>
      <c r="E130" s="608"/>
      <c r="F130" s="612"/>
      <c r="G130" s="617"/>
      <c r="H130" s="617"/>
      <c r="I130" s="617"/>
      <c r="J130" s="617"/>
      <c r="K130" s="627"/>
      <c r="L130" s="627"/>
      <c r="M130" s="614"/>
      <c r="N130" s="33"/>
    </row>
    <row r="131" spans="1:29">
      <c r="A131" s="619" t="s">
        <v>9</v>
      </c>
      <c r="B131" s="608"/>
      <c r="C131" s="608"/>
      <c r="D131" s="612"/>
      <c r="E131" s="608"/>
      <c r="F131" s="187"/>
      <c r="G131" s="629"/>
      <c r="H131" s="624"/>
      <c r="I131" s="624"/>
      <c r="J131" s="617"/>
      <c r="K131" s="627"/>
      <c r="L131" s="628"/>
      <c r="M131" s="614"/>
      <c r="N131" s="33"/>
    </row>
    <row r="132" spans="1:29">
      <c r="A132" s="608" t="s">
        <v>83</v>
      </c>
      <c r="B132" s="608" t="s">
        <v>583</v>
      </c>
      <c r="C132" s="608" t="s">
        <v>230</v>
      </c>
      <c r="D132" s="617">
        <f t="shared" ref="D132:D134" si="39">G132</f>
        <v>95511.50463542901</v>
      </c>
      <c r="E132" s="608" t="s">
        <v>10</v>
      </c>
      <c r="F132" s="608"/>
      <c r="G132" s="629">
        <v>95511.50463542901</v>
      </c>
      <c r="H132" s="617">
        <f t="shared" ref="H132:J132" si="40">G132</f>
        <v>95511.50463542901</v>
      </c>
      <c r="I132" s="617">
        <f t="shared" si="40"/>
        <v>95511.50463542901</v>
      </c>
      <c r="J132" s="617">
        <f t="shared" si="40"/>
        <v>95511.50463542901</v>
      </c>
      <c r="K132" s="627" t="s">
        <v>94</v>
      </c>
      <c r="L132" s="628" t="str">
        <f>VLOOKUP(A132,Summary!$B$7:$E$24,3,FALSE)</f>
        <v>Y</v>
      </c>
      <c r="M132" s="614"/>
      <c r="N132" s="33"/>
      <c r="P132" s="33"/>
      <c r="Q132" s="33"/>
      <c r="R132" s="33"/>
      <c r="S132" s="33"/>
      <c r="T132" s="33"/>
      <c r="U132" s="33"/>
      <c r="V132" s="29"/>
      <c r="W132" s="29"/>
      <c r="X132" s="29"/>
      <c r="Y132" s="29"/>
      <c r="Z132" s="29"/>
      <c r="AA132" s="29"/>
      <c r="AB132" s="29"/>
      <c r="AC132" s="29"/>
    </row>
    <row r="133" spans="1:29">
      <c r="A133" s="608" t="s">
        <v>85</v>
      </c>
      <c r="B133" s="608" t="s">
        <v>584</v>
      </c>
      <c r="C133" s="608" t="s">
        <v>230</v>
      </c>
      <c r="D133" s="617">
        <f t="shared" si="39"/>
        <v>-9805.4838046948498</v>
      </c>
      <c r="E133" s="608" t="s">
        <v>10</v>
      </c>
      <c r="F133" s="187"/>
      <c r="G133" s="629">
        <v>-9805.4838046948498</v>
      </c>
      <c r="H133" s="617">
        <f t="shared" ref="H133:J133" si="41">G133</f>
        <v>-9805.4838046948498</v>
      </c>
      <c r="I133" s="617">
        <f t="shared" si="41"/>
        <v>-9805.4838046948498</v>
      </c>
      <c r="J133" s="617">
        <f t="shared" si="41"/>
        <v>-9805.4838046948498</v>
      </c>
      <c r="K133" s="627" t="s">
        <v>94</v>
      </c>
      <c r="L133" s="628" t="str">
        <f>VLOOKUP(A133,Summary!$B$7:$E$24,3,FALSE)</f>
        <v>Y</v>
      </c>
      <c r="M133" s="614"/>
      <c r="N133" s="33"/>
    </row>
    <row r="134" spans="1:29">
      <c r="A134" s="608" t="s">
        <v>393</v>
      </c>
      <c r="B134" s="608" t="s">
        <v>530</v>
      </c>
      <c r="C134" s="608" t="s">
        <v>230</v>
      </c>
      <c r="D134" s="617">
        <f t="shared" si="39"/>
        <v>172238.72048649599</v>
      </c>
      <c r="E134" s="608" t="s">
        <v>10</v>
      </c>
      <c r="F134" s="187"/>
      <c r="G134" s="629">
        <v>172238.72048649599</v>
      </c>
      <c r="H134" s="617">
        <f t="shared" ref="H134:J134" si="42">G134</f>
        <v>172238.72048649599</v>
      </c>
      <c r="I134" s="617">
        <f t="shared" si="42"/>
        <v>172238.72048649599</v>
      </c>
      <c r="J134" s="617">
        <f t="shared" si="42"/>
        <v>172238.72048649599</v>
      </c>
      <c r="K134" s="627" t="s">
        <v>94</v>
      </c>
      <c r="L134" s="628" t="str">
        <f>VLOOKUP(A134,Summary!$B$7:$E$24,3,FALSE)</f>
        <v>Y</v>
      </c>
      <c r="M134" s="614"/>
      <c r="N134" s="33"/>
    </row>
    <row r="135" spans="1:29">
      <c r="A135" s="18"/>
      <c r="D135" s="25"/>
      <c r="F135" s="184"/>
      <c r="G135" s="184"/>
      <c r="H135" s="184"/>
      <c r="I135" s="184"/>
      <c r="J135" s="184"/>
      <c r="L135" s="186"/>
      <c r="M135" s="33"/>
      <c r="N135" s="33"/>
    </row>
    <row r="136" spans="1:29" ht="15" thickBot="1">
      <c r="A136" s="72" t="s">
        <v>115</v>
      </c>
      <c r="B136" s="71"/>
      <c r="C136" s="71"/>
      <c r="D136" s="231">
        <f>SUM(D93:D131)</f>
        <v>1111127.0739467877</v>
      </c>
      <c r="E136" s="73"/>
      <c r="F136" s="231">
        <f>SUM(F93:F131)</f>
        <v>0</v>
      </c>
      <c r="G136" s="231">
        <f>SUM(G93:G135)</f>
        <v>711793.27577623527</v>
      </c>
      <c r="H136" s="231">
        <f>SUM(H93:H135)</f>
        <v>931328.90839190548</v>
      </c>
      <c r="I136" s="231">
        <f>SUM(I93:I135)</f>
        <v>931456.36042229179</v>
      </c>
      <c r="J136" s="231">
        <f>SUM(J93:J135)</f>
        <v>931048.20342229179</v>
      </c>
      <c r="K136" s="71"/>
      <c r="L136" s="336"/>
      <c r="M136" s="33"/>
      <c r="N136" s="33"/>
    </row>
    <row r="137" spans="1:29" ht="15" thickTop="1">
      <c r="D137" s="24"/>
      <c r="F137" s="28"/>
      <c r="G137" s="626"/>
      <c r="H137" s="28"/>
      <c r="I137" s="28"/>
      <c r="J137" s="28"/>
      <c r="L137" s="336"/>
      <c r="M137" s="33"/>
      <c r="N137" s="33"/>
    </row>
    <row r="138" spans="1:29" ht="15.6">
      <c r="A138" s="555" t="s">
        <v>116</v>
      </c>
      <c r="B138" s="555"/>
      <c r="C138" s="555"/>
      <c r="D138" s="555"/>
      <c r="E138" s="555"/>
      <c r="F138" s="555"/>
      <c r="G138" s="555"/>
      <c r="H138" s="555"/>
      <c r="I138" s="555"/>
      <c r="J138" s="555"/>
      <c r="K138" s="555"/>
      <c r="L138"/>
      <c r="M138" s="33"/>
      <c r="N138" s="33"/>
    </row>
    <row r="139" spans="1:29" ht="57.6">
      <c r="A139" s="31" t="s">
        <v>0</v>
      </c>
      <c r="B139" s="32" t="s">
        <v>117</v>
      </c>
      <c r="C139" s="32" t="s">
        <v>118</v>
      </c>
      <c r="D139" s="32" t="s">
        <v>107</v>
      </c>
      <c r="E139" s="32" t="s">
        <v>108</v>
      </c>
      <c r="F139" s="556" t="s">
        <v>119</v>
      </c>
      <c r="G139" s="556"/>
      <c r="H139" s="556"/>
      <c r="I139" s="556"/>
      <c r="J139" s="292"/>
      <c r="K139" s="32" t="s">
        <v>92</v>
      </c>
      <c r="M139" s="33"/>
      <c r="N139" s="33"/>
    </row>
    <row r="140" spans="1:29">
      <c r="A140" s="18" t="s">
        <v>2</v>
      </c>
      <c r="C140" s="33"/>
      <c r="D140" s="33"/>
      <c r="E140" s="33"/>
      <c r="F140" s="25"/>
      <c r="G140" s="25"/>
      <c r="H140" s="25"/>
      <c r="I140" s="25"/>
      <c r="J140" s="25"/>
      <c r="K140"/>
      <c r="L140"/>
      <c r="M140" s="33"/>
      <c r="N140" s="33"/>
      <c r="U140" s="33"/>
    </row>
    <row r="141" spans="1:29">
      <c r="B141" s="222"/>
      <c r="D141" s="23"/>
      <c r="F141" s="25"/>
      <c r="G141" s="25"/>
      <c r="H141" s="25"/>
      <c r="I141" s="25"/>
      <c r="J141" s="25"/>
      <c r="L141" s="23"/>
      <c r="M141" s="33"/>
      <c r="N141" s="33"/>
      <c r="U141" s="33"/>
    </row>
    <row r="142" spans="1:29" ht="15.6">
      <c r="D142" s="23"/>
      <c r="F142" s="25"/>
      <c r="G142" s="25"/>
      <c r="H142" s="25"/>
      <c r="I142" s="25"/>
      <c r="J142" s="25"/>
      <c r="L142" s="23"/>
      <c r="M142" s="33"/>
      <c r="N142" s="33"/>
      <c r="P142" s="34"/>
      <c r="Q142" s="34"/>
      <c r="R142" s="34"/>
      <c r="S142" s="35"/>
      <c r="U142" s="33"/>
    </row>
    <row r="143" spans="1:29" ht="15.6">
      <c r="D143" s="23"/>
      <c r="F143" s="25"/>
      <c r="G143" s="25"/>
      <c r="H143" s="25"/>
      <c r="I143" s="25"/>
      <c r="J143" s="25"/>
      <c r="L143" s="23"/>
      <c r="M143" s="33"/>
      <c r="N143" s="33"/>
      <c r="P143" s="34"/>
      <c r="Q143" s="34"/>
      <c r="R143" s="34"/>
      <c r="S143" s="35"/>
      <c r="U143" s="33"/>
    </row>
    <row r="144" spans="1:29" ht="15.6">
      <c r="A144" s="18" t="s">
        <v>7</v>
      </c>
      <c r="L144" s="33"/>
      <c r="M144" s="33"/>
      <c r="N144" s="33"/>
      <c r="P144" s="34"/>
      <c r="Q144" s="34"/>
      <c r="R144" s="34"/>
      <c r="S144" s="35"/>
      <c r="U144" s="33"/>
    </row>
    <row r="145" spans="1:29" ht="15.6">
      <c r="D145" s="23"/>
      <c r="F145" s="25"/>
      <c r="G145" s="187"/>
      <c r="H145" s="25"/>
      <c r="I145" s="25"/>
      <c r="J145" s="25"/>
      <c r="M145" s="33"/>
      <c r="N145" s="33"/>
      <c r="P145" s="34"/>
      <c r="Q145" s="34"/>
      <c r="R145" s="34"/>
      <c r="S145" s="35"/>
      <c r="U145" s="33"/>
    </row>
    <row r="146" spans="1:29" ht="15.6">
      <c r="B146" s="514"/>
      <c r="K146"/>
      <c r="M146" s="34"/>
      <c r="N146" s="33"/>
      <c r="P146" s="33"/>
      <c r="Q146" s="33"/>
      <c r="R146" s="33"/>
      <c r="S146" s="33"/>
      <c r="T146" s="33"/>
      <c r="U146" s="33"/>
      <c r="V146" s="503"/>
      <c r="W146" s="503"/>
      <c r="X146" s="503"/>
      <c r="Y146" s="503"/>
      <c r="Z146" s="503"/>
      <c r="AA146" s="503"/>
      <c r="AB146" s="503"/>
      <c r="AC146" s="503"/>
    </row>
    <row r="147" spans="1:29" ht="15.6">
      <c r="A147" s="18" t="s">
        <v>9</v>
      </c>
      <c r="M147" s="34"/>
      <c r="N147" s="33"/>
      <c r="P147" s="33"/>
      <c r="Q147" s="33"/>
      <c r="R147" s="33"/>
      <c r="S147" s="33"/>
      <c r="T147" s="33"/>
      <c r="U147" s="33"/>
      <c r="V147" s="29"/>
      <c r="W147" s="29"/>
      <c r="X147" s="29"/>
      <c r="Y147" s="29"/>
      <c r="Z147" s="29"/>
      <c r="AA147" s="29"/>
      <c r="AB147" s="29"/>
      <c r="AC147" s="29"/>
    </row>
    <row r="148" spans="1:29" ht="15.6">
      <c r="A148" t="s">
        <v>537</v>
      </c>
      <c r="B148" s="222">
        <v>45992</v>
      </c>
      <c r="K148"/>
      <c r="L148"/>
      <c r="M148" s="34"/>
      <c r="N148" s="34"/>
      <c r="P148" s="33"/>
      <c r="Q148" s="33"/>
      <c r="R148" s="33"/>
      <c r="S148" s="33"/>
      <c r="T148" s="33"/>
      <c r="U148" s="33"/>
      <c r="V148" s="29"/>
      <c r="W148" s="29"/>
      <c r="X148" s="29"/>
      <c r="Y148" s="29"/>
      <c r="Z148" s="29"/>
      <c r="AA148" s="29"/>
      <c r="AB148" s="29"/>
      <c r="AC148" s="29"/>
    </row>
    <row r="149" spans="1:29" ht="15.6">
      <c r="D149" s="23"/>
      <c r="F149" s="23"/>
      <c r="G149" s="23"/>
      <c r="H149" s="23"/>
      <c r="I149" s="23"/>
      <c r="J149" s="23"/>
      <c r="K149"/>
      <c r="L149"/>
      <c r="M149" s="34"/>
      <c r="N149" s="34"/>
      <c r="O149" s="34"/>
      <c r="P149" s="33"/>
      <c r="Q149" s="33"/>
      <c r="R149" s="33"/>
      <c r="S149" s="33"/>
      <c r="T149" s="33"/>
      <c r="U149" s="33"/>
      <c r="V149" s="29"/>
      <c r="W149" s="29"/>
      <c r="X149" s="29"/>
      <c r="Y149" s="29"/>
      <c r="Z149" s="29"/>
      <c r="AA149" s="29"/>
      <c r="AB149" s="29"/>
      <c r="AC149" s="29"/>
    </row>
    <row r="150" spans="1:29" ht="15.6">
      <c r="B150" s="222"/>
      <c r="D150" s="23"/>
      <c r="F150" s="23"/>
      <c r="G150" s="23"/>
      <c r="H150" s="23"/>
      <c r="I150" s="23"/>
      <c r="J150" s="23"/>
      <c r="K150"/>
      <c r="L150"/>
      <c r="M150" s="13"/>
      <c r="N150" s="34"/>
      <c r="O150" s="34"/>
      <c r="P150" s="33"/>
      <c r="Q150" s="33"/>
      <c r="R150" s="33"/>
      <c r="S150" s="33"/>
      <c r="T150" s="33"/>
      <c r="U150" s="33"/>
      <c r="V150" s="29"/>
      <c r="W150" s="29"/>
      <c r="X150" s="29"/>
      <c r="Y150" s="29"/>
      <c r="Z150" s="29"/>
      <c r="AA150" s="29"/>
      <c r="AB150" s="29"/>
      <c r="AC150" s="29"/>
    </row>
    <row r="151" spans="1:29" ht="15.6">
      <c r="B151" s="222"/>
      <c r="D151" s="23"/>
      <c r="F151" s="23"/>
      <c r="G151" s="23"/>
      <c r="H151" s="23"/>
      <c r="I151" s="23"/>
      <c r="J151" s="23"/>
      <c r="K151"/>
      <c r="L151"/>
      <c r="M151" s="13"/>
      <c r="N151" s="34"/>
      <c r="O151" s="34"/>
      <c r="P151" s="33"/>
      <c r="Q151" s="33"/>
      <c r="R151" s="33"/>
      <c r="S151" s="33"/>
      <c r="T151" s="33"/>
    </row>
    <row r="152" spans="1:29">
      <c r="L152"/>
      <c r="M152" s="13"/>
      <c r="N152" s="13"/>
      <c r="O152" s="33"/>
      <c r="P152" s="33"/>
      <c r="Q152" s="33"/>
      <c r="R152" s="33"/>
      <c r="S152" s="33"/>
      <c r="T152" s="33"/>
    </row>
    <row r="153" spans="1:29">
      <c r="M153" s="13"/>
      <c r="N153" s="13"/>
      <c r="O153" s="33"/>
    </row>
    <row r="154" spans="1:29">
      <c r="L154"/>
      <c r="M154" s="13"/>
      <c r="N154" s="13"/>
      <c r="O154" s="33"/>
    </row>
    <row r="155" spans="1:29">
      <c r="A155" t="s">
        <v>120</v>
      </c>
      <c r="L155"/>
      <c r="M155" s="13"/>
      <c r="N155" s="13"/>
      <c r="O155" s="33"/>
    </row>
    <row r="156" spans="1:29">
      <c r="M156" s="33"/>
      <c r="N156" s="13"/>
      <c r="O156" s="33"/>
    </row>
    <row r="157" spans="1:29">
      <c r="K157"/>
      <c r="N157" s="13"/>
      <c r="O157" s="33"/>
    </row>
    <row r="158" spans="1:29">
      <c r="K158"/>
      <c r="N158" s="33"/>
      <c r="O158" s="33"/>
    </row>
    <row r="159" spans="1:29" ht="15" customHeight="1">
      <c r="K159"/>
      <c r="O159" s="33"/>
    </row>
    <row r="160" spans="1:29" ht="15" customHeight="1">
      <c r="K160"/>
      <c r="O160" s="33"/>
    </row>
    <row r="161" spans="6:19" ht="15" customHeight="1">
      <c r="K161"/>
      <c r="O161" s="33"/>
    </row>
    <row r="162" spans="6:19" ht="15" customHeight="1">
      <c r="K162"/>
      <c r="L162"/>
    </row>
    <row r="163" spans="6:19" ht="15" customHeight="1">
      <c r="K163"/>
      <c r="L163"/>
    </row>
    <row r="164" spans="6:19" ht="15" customHeight="1">
      <c r="K164"/>
      <c r="L164"/>
    </row>
    <row r="165" spans="6:19">
      <c r="K165"/>
      <c r="L165"/>
    </row>
    <row r="166" spans="6:19">
      <c r="K166"/>
      <c r="L166"/>
    </row>
    <row r="167" spans="6:19" ht="15" customHeight="1">
      <c r="K167"/>
      <c r="L167"/>
    </row>
    <row r="168" spans="6:19" ht="15" customHeight="1">
      <c r="K168"/>
      <c r="L168"/>
    </row>
    <row r="169" spans="6:19">
      <c r="F169" s="28"/>
      <c r="L169"/>
      <c r="P169" s="30"/>
      <c r="Q169" s="30"/>
      <c r="R169" s="30"/>
      <c r="S169" s="36"/>
    </row>
    <row r="170" spans="6:19">
      <c r="F170" s="15"/>
      <c r="L170"/>
      <c r="P170" s="30"/>
      <c r="Q170" s="30"/>
      <c r="R170" s="30"/>
      <c r="S170" s="36"/>
    </row>
    <row r="171" spans="6:19">
      <c r="L171"/>
      <c r="P171" s="30"/>
      <c r="Q171" s="30"/>
      <c r="R171" s="30"/>
      <c r="S171" s="36"/>
    </row>
    <row r="172" spans="6:19">
      <c r="K172"/>
      <c r="L172"/>
      <c r="P172" s="30"/>
      <c r="Q172" s="30"/>
      <c r="R172" s="30"/>
      <c r="S172" s="36"/>
    </row>
    <row r="173" spans="6:19">
      <c r="K173"/>
      <c r="L173"/>
      <c r="M173" s="30"/>
      <c r="P173" s="30"/>
      <c r="Q173" s="30"/>
      <c r="R173" s="30"/>
      <c r="S173" s="36"/>
    </row>
    <row r="174" spans="6:19">
      <c r="K174"/>
      <c r="M174" s="30"/>
      <c r="P174" s="30"/>
      <c r="Q174" s="30"/>
      <c r="R174" s="30"/>
      <c r="S174" s="36"/>
    </row>
    <row r="175" spans="6:19">
      <c r="K175"/>
      <c r="M175" s="30"/>
      <c r="N175" s="30"/>
      <c r="P175" s="30"/>
      <c r="Q175" s="30"/>
      <c r="R175" s="30"/>
      <c r="S175" s="36"/>
    </row>
    <row r="176" spans="6:19">
      <c r="K176"/>
      <c r="M176" s="30"/>
      <c r="N176" s="30"/>
      <c r="P176" s="37"/>
      <c r="Q176" s="37"/>
      <c r="R176" s="37"/>
      <c r="S176" s="28"/>
    </row>
    <row r="177" spans="11:19">
      <c r="K177"/>
      <c r="L177"/>
      <c r="M177" s="30"/>
      <c r="N177" s="30"/>
      <c r="P177" s="37"/>
      <c r="Q177" s="37"/>
      <c r="R177" s="37"/>
      <c r="S177" s="28"/>
    </row>
    <row r="178" spans="11:19">
      <c r="K178"/>
      <c r="L178"/>
      <c r="M178" s="30"/>
      <c r="N178" s="30"/>
      <c r="O178" s="30"/>
      <c r="P178" s="37"/>
      <c r="Q178" s="37"/>
      <c r="R178" s="37"/>
      <c r="S178" s="28"/>
    </row>
    <row r="179" spans="11:19">
      <c r="K179"/>
      <c r="L179"/>
      <c r="M179" s="30"/>
      <c r="N179" s="30"/>
      <c r="O179" s="30"/>
      <c r="P179" s="37"/>
      <c r="Q179" s="37"/>
      <c r="R179" s="37"/>
      <c r="S179" s="28"/>
    </row>
    <row r="180" spans="11:19">
      <c r="K180"/>
      <c r="L180"/>
      <c r="M180" s="37"/>
      <c r="N180" s="30"/>
      <c r="O180" s="30"/>
      <c r="P180" s="21"/>
      <c r="Q180" s="21"/>
      <c r="R180" s="21"/>
      <c r="S180" s="21"/>
    </row>
    <row r="181" spans="11:19">
      <c r="K181"/>
      <c r="L181"/>
      <c r="M181" s="37"/>
      <c r="N181" s="30"/>
      <c r="O181" s="30"/>
    </row>
    <row r="182" spans="11:19">
      <c r="K182"/>
      <c r="L182"/>
      <c r="M182" s="37"/>
      <c r="N182" s="37"/>
      <c r="O182" s="30"/>
    </row>
    <row r="183" spans="11:19">
      <c r="K183"/>
      <c r="L183"/>
      <c r="M183" s="37"/>
      <c r="N183" s="37"/>
      <c r="O183" s="30"/>
    </row>
    <row r="184" spans="11:19">
      <c r="K184"/>
      <c r="L184"/>
      <c r="N184" s="37"/>
      <c r="O184" s="30"/>
    </row>
    <row r="185" spans="11:19">
      <c r="K185"/>
      <c r="L185"/>
      <c r="N185" s="37"/>
      <c r="O185" s="37"/>
    </row>
    <row r="186" spans="11:19">
      <c r="K186"/>
      <c r="L186"/>
      <c r="O186" s="37"/>
    </row>
    <row r="187" spans="11:19">
      <c r="K187"/>
      <c r="L187"/>
      <c r="O187" s="37"/>
    </row>
    <row r="188" spans="11:19">
      <c r="K188"/>
      <c r="L188"/>
      <c r="O188" s="37"/>
    </row>
    <row r="189" spans="11:19">
      <c r="K189"/>
      <c r="L189"/>
      <c r="O189" s="38"/>
    </row>
    <row r="190" spans="11:19">
      <c r="K190"/>
      <c r="L190"/>
    </row>
    <row r="191" spans="11:19">
      <c r="L191"/>
    </row>
    <row r="192" spans="11:19">
      <c r="L192"/>
    </row>
    <row r="193" spans="12:12">
      <c r="L193"/>
    </row>
    <row r="194" spans="12:12">
      <c r="L194"/>
    </row>
    <row r="195" spans="12:12">
      <c r="L195"/>
    </row>
  </sheetData>
  <autoFilter ref="A8:K131" xr:uid="{A3486F18-8C03-46B1-A3A4-34B73037874F}">
    <filterColumn colId="5" showButton="0"/>
    <filterColumn colId="6" showButton="0"/>
    <filterColumn colId="7" showButton="0"/>
    <filterColumn colId="8" showButton="0"/>
  </autoFilter>
  <mergeCells count="8">
    <mergeCell ref="X90:Y90"/>
    <mergeCell ref="A138:K138"/>
    <mergeCell ref="F139:I139"/>
    <mergeCell ref="O7:T7"/>
    <mergeCell ref="F8:J8"/>
    <mergeCell ref="A90:K90"/>
    <mergeCell ref="F91:J91"/>
    <mergeCell ref="A7:L7"/>
  </mergeCells>
  <phoneticPr fontId="42" type="noConversion"/>
  <conditionalFormatting sqref="A32">
    <cfRule type="duplicateValues" dxfId="13" priority="12"/>
  </conditionalFormatting>
  <conditionalFormatting sqref="A33">
    <cfRule type="duplicateValues" dxfId="12" priority="14"/>
  </conditionalFormatting>
  <conditionalFormatting sqref="A34">
    <cfRule type="duplicateValues" dxfId="11" priority="32"/>
  </conditionalFormatting>
  <conditionalFormatting sqref="M150:M155 N152:N157">
    <cfRule type="duplicateValues" dxfId="10" priority="79"/>
  </conditionalFormatting>
  <conditionalFormatting sqref="N85:N86 M84:M85 Q79:Q85 N90:N94 M89:M114">
    <cfRule type="duplicateValues" dxfId="9" priority="82"/>
  </conditionalFormatting>
  <conditionalFormatting sqref="N103">
    <cfRule type="duplicateValues" dxfId="8" priority="76"/>
  </conditionalFormatting>
  <conditionalFormatting sqref="AA91:AE93">
    <cfRule type="cellIs" dxfId="7" priority="3" operator="equal">
      <formula>"NO CHANGE"</formula>
    </cfRule>
    <cfRule type="cellIs" dxfId="6" priority="4" operator="equal">
      <formula>"DECREASE"</formula>
    </cfRule>
    <cfRule type="cellIs" dxfId="5" priority="5" operator="greaterThan">
      <formula>0</formula>
    </cfRule>
    <cfRule type="cellIs" dxfId="4" priority="7" operator="lessThan">
      <formula>0</formula>
    </cfRule>
  </conditionalFormatting>
  <dataValidations count="6">
    <dataValidation type="list" allowBlank="1" showInputMessage="1" showErrorMessage="1" sqref="K92 K140 N159 F92 M157" xr:uid="{F607B283-23EA-41F1-982F-630BAE586EF6}">
      <formula1>"2019,2020,2021,2022,2023,2024,2025"</formula1>
    </dataValidation>
    <dataValidation type="list" allowBlank="1" showInputMessage="1" showErrorMessage="1" sqref="F9:G9 G92 L9" xr:uid="{15C4B3F3-BFFB-4E7F-89A3-71DB0F39ACBD}">
      <formula1>"2022,2023,2024,2025,2026"</formula1>
    </dataValidation>
    <dataValidation type="list" allowBlank="1" showInputMessage="1" showErrorMessage="1" sqref="H9 H92" xr:uid="{F2215657-CD46-4314-873E-0D6ACCFA763E}">
      <formula1>"2022,2023,2024,2025,2026,2027"</formula1>
    </dataValidation>
    <dataValidation type="list" allowBlank="1" showInputMessage="1" showErrorMessage="1" sqref="I9 I92" xr:uid="{B18AC4CE-2262-4725-B729-7180F7C36B1B}">
      <formula1>"2022,2023,2024,2025,2026,2027,2028"</formula1>
    </dataValidation>
    <dataValidation type="list" allowBlank="1" showInputMessage="1" showErrorMessage="1" sqref="A3" xr:uid="{07159B69-9493-48EF-AB1B-AF968638878F}">
      <formula1>"Reporting Date: Quarter Ended March 31,Reporting Date: Quarter Ended June 30,Reporting Date: Quarter Ended September 30,Reporting Date: Quarter Ended December 31"</formula1>
    </dataValidation>
    <dataValidation type="list" allowBlank="1" showInputMessage="1" showErrorMessage="1" sqref="A2" xr:uid="{0BB491CF-44A5-433B-AC34-B860397F85EF}">
      <formula1>"Annual Period 2020,Annual Period 2021,Annual Period 2022,Annual Period 2023,Annual Period 2024, Annual Period 2025"</formula1>
    </dataValidation>
  </dataValidations>
  <pageMargins left="0.7" right="0.7" top="0.75" bottom="0.75" header="0.3" footer="0.3"/>
  <pageSetup paperSize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24B9-277D-4BA8-96CB-4C4B5722B56A}">
  <sheetPr codeName="Sheet3"/>
  <dimension ref="A1:AF84"/>
  <sheetViews>
    <sheetView zoomScale="80" zoomScaleNormal="80" workbookViewId="0"/>
  </sheetViews>
  <sheetFormatPr defaultColWidth="8.88671875" defaultRowHeight="14.4"/>
  <cols>
    <col min="1" max="1" width="3.5546875" style="6" customWidth="1"/>
    <col min="2" max="2" width="23.88671875" style="6" customWidth="1"/>
    <col min="3" max="3" width="19.44140625" style="6" customWidth="1"/>
    <col min="4" max="4" width="17.5546875" style="6" customWidth="1"/>
    <col min="5" max="6" width="16.33203125" style="6" customWidth="1"/>
    <col min="7" max="7" width="20.88671875" style="6" customWidth="1"/>
    <col min="8" max="8" width="16.5546875" style="6" customWidth="1"/>
    <col min="9" max="9" width="14.109375" style="6" customWidth="1"/>
    <col min="10" max="10" width="13.5546875" style="6" customWidth="1"/>
    <col min="11" max="11" width="15.109375" style="6" customWidth="1"/>
    <col min="12" max="12" width="14.88671875" style="6" customWidth="1"/>
    <col min="13" max="15" width="15.44140625" style="6" customWidth="1"/>
    <col min="16" max="16" width="13" style="6" customWidth="1"/>
    <col min="17" max="17" width="15.5546875" style="6" customWidth="1"/>
    <col min="18" max="18" width="17.5546875" style="6" customWidth="1"/>
    <col min="19" max="19" width="14.109375" style="6" customWidth="1"/>
    <col min="20" max="21" width="14" style="6" customWidth="1"/>
    <col min="22" max="22" width="15" style="6" customWidth="1"/>
    <col min="23" max="23" width="14.109375" style="6" customWidth="1"/>
    <col min="24" max="24" width="14.88671875" style="6" bestFit="1" customWidth="1"/>
    <col min="25" max="26" width="14.88671875" style="6" customWidth="1"/>
    <col min="27" max="27" width="13.5546875" style="6" customWidth="1"/>
    <col min="28" max="28" width="16.88671875" style="6" customWidth="1"/>
    <col min="29" max="32" width="15.88671875" style="6" customWidth="1"/>
    <col min="33" max="16384" width="8.88671875" style="6"/>
  </cols>
  <sheetData>
    <row r="1" spans="1:32" s="171" customFormat="1" ht="25.5" customHeight="1">
      <c r="A1" s="4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</row>
    <row r="2" spans="1:32" ht="15.6">
      <c r="B2" s="78"/>
      <c r="C2" s="563" t="s">
        <v>161</v>
      </c>
      <c r="D2" s="56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32">
      <c r="B3" s="79"/>
      <c r="C3" s="80" t="s">
        <v>158</v>
      </c>
      <c r="D3" s="80" t="s">
        <v>162</v>
      </c>
      <c r="S3" s="81"/>
      <c r="T3" s="81"/>
      <c r="U3" s="81"/>
      <c r="V3" s="81"/>
      <c r="W3" s="81"/>
      <c r="X3" s="81"/>
      <c r="Y3" s="81"/>
      <c r="Z3" s="81"/>
      <c r="AA3" s="81"/>
    </row>
    <row r="4" spans="1:32" ht="15.6">
      <c r="B4" s="240" t="s">
        <v>3</v>
      </c>
      <c r="C4" s="154">
        <f>INDEX('Incremental Rev Req'!$O$8:$T$23,MATCH(B4,'Incremental Rev Req'!$O$8:$O$23,0),MATCH(Summary!$D$2,'Incremental Rev Req'!$O$8:$T$8,0))</f>
        <v>630708.1540856926</v>
      </c>
      <c r="D4" s="154">
        <f>INDEX('Incremental Rev Req'!$O$89:$T$107,MATCH(B4,'Incremental Rev Req'!$O$89:$O$107,0),MATCH(Summary!$D$2,'Incremental Rev Req'!$O$89:$T$89,0))</f>
        <v>581846.13612410286</v>
      </c>
      <c r="H4" s="573" t="s">
        <v>163</v>
      </c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41"/>
      <c r="W4" s="41"/>
      <c r="X4" s="41"/>
      <c r="Y4" s="41"/>
      <c r="Z4" s="41"/>
      <c r="AA4" s="41"/>
      <c r="AB4" s="41"/>
      <c r="AC4" s="41"/>
      <c r="AD4" s="41"/>
    </row>
    <row r="5" spans="1:32" ht="16.95" customHeight="1">
      <c r="B5" s="402" t="s">
        <v>389</v>
      </c>
      <c r="C5" s="154">
        <f>INDEX('Incremental Rev Req'!$O$8:$T$23,MATCH(B5,'Incremental Rev Req'!$O$8:$O$23,0),MATCH(Summary!$D$2,'Incremental Rev Req'!$O$8:$T$8,0))</f>
        <v>80.182302790146849</v>
      </c>
      <c r="D5" s="154">
        <f>INDEX('Incremental Rev Req'!$O$89:$T$107,MATCH(B5,'Incremental Rev Req'!$O$89:$O$107,0),MATCH(Summary!$D$2,'Incremental Rev Req'!$O$89:$T$89,0))</f>
        <v>313.03090980522069</v>
      </c>
      <c r="G5" s="1"/>
      <c r="H5" s="84" t="s">
        <v>3</v>
      </c>
      <c r="I5" s="84" t="s">
        <v>389</v>
      </c>
      <c r="J5" s="84" t="s">
        <v>59</v>
      </c>
      <c r="K5" s="84" t="s">
        <v>5</v>
      </c>
      <c r="L5" s="84" t="s">
        <v>98</v>
      </c>
      <c r="M5" s="84" t="s">
        <v>14</v>
      </c>
      <c r="N5" s="84" t="s">
        <v>80</v>
      </c>
      <c r="O5" s="84" t="s">
        <v>100</v>
      </c>
      <c r="P5" s="84" t="s">
        <v>97</v>
      </c>
      <c r="Q5" s="84" t="s">
        <v>78</v>
      </c>
      <c r="R5" s="84" t="s">
        <v>10</v>
      </c>
      <c r="S5" s="84" t="s">
        <v>225</v>
      </c>
      <c r="T5" s="84" t="s">
        <v>87</v>
      </c>
      <c r="U5" s="84" t="s">
        <v>256</v>
      </c>
      <c r="V5" s="6" t="s">
        <v>250</v>
      </c>
      <c r="AC5" s="258"/>
      <c r="AD5" s="47"/>
    </row>
    <row r="6" spans="1:32" ht="15.6">
      <c r="B6" s="403" t="s">
        <v>59</v>
      </c>
      <c r="C6" s="154">
        <f>INDEX('Incremental Rev Req'!$O$8:$T$23,MATCH(B6,'Incremental Rev Req'!$O$8:$O$23,0),MATCH(Summary!$D$2,'Incremental Rev Req'!$O$8:$T$8,0))</f>
        <v>111028.10550104988</v>
      </c>
      <c r="D6" s="154">
        <f>INDEX('Incremental Rev Req'!$O$89:$T$107,MATCH(B6,'Incremental Rev Req'!$O$89:$O$107,0),MATCH(Summary!$D$2,'Incremental Rev Req'!$O$89:$T$89,0))</f>
        <v>168419.18324771925</v>
      </c>
      <c r="G6" s="1" t="s">
        <v>149</v>
      </c>
      <c r="H6" s="85">
        <f>IF(Summary!$D$2=2025,'Sales Allocations &amp; CCC'!D3,'Sales Allocations &amp; CCC'!D4)</f>
        <v>0.40275707177337122</v>
      </c>
      <c r="I6" s="85">
        <f>IF(Summary!$D$2=2025,'Sales Allocations &amp; CCC'!E3,'Sales Allocations &amp; CCC'!E4)</f>
        <v>0.19327545344183236</v>
      </c>
      <c r="J6" s="85">
        <f>IF(Summary!$D$2=2025,'Sales Allocations &amp; CCC'!F3,'Sales Allocations &amp; CCC'!F4)</f>
        <v>0.39851332033456133</v>
      </c>
      <c r="K6" s="85">
        <f>IF(Summary!$D$2=2025,'Sales Allocations &amp; CCC'!G3,'Sales Allocations &amp; CCC'!G4)</f>
        <v>0.42564546794027941</v>
      </c>
      <c r="L6" s="85">
        <f>IF(Summary!$D$2=2025,'Sales Allocations &amp; CCC'!H3,'Sales Allocations &amp; CCC'!H4)</f>
        <v>0.93344443986239845</v>
      </c>
      <c r="M6" s="85">
        <f>IF(Summary!$D$2=2025,'Sales Allocations &amp; CCC'!I3,'Sales Allocations &amp; CCC'!I4)</f>
        <v>0.40427529966097436</v>
      </c>
      <c r="N6" s="85">
        <f>IF(Summary!$D$2=2025,'Sales Allocations &amp; CCC'!J3,'Sales Allocations &amp; CCC'!J4)</f>
        <v>0.37542055388231838</v>
      </c>
      <c r="O6" s="85">
        <f>IF(Summary!$D$2=2025,'Sales Allocations &amp; CCC'!K3,'Sales Allocations &amp; CCC'!K4)</f>
        <v>0.35235621245744458</v>
      </c>
      <c r="P6" s="85">
        <f>IF(Summary!$D$2=2025,'Sales Allocations &amp; CCC'!L3,'Sales Allocations &amp; CCC'!L4)</f>
        <v>0</v>
      </c>
      <c r="Q6" s="85">
        <f>IF(Summary!$D$2=2025,'Sales Allocations &amp; CCC'!M3,'Sales Allocations &amp; CCC'!M4)</f>
        <v>0</v>
      </c>
      <c r="R6" s="85">
        <f>IF(Summary!$D$2=2025,'Sales Allocations &amp; CCC'!N3,'Sales Allocations &amp; CCC'!N4)</f>
        <v>0.48023679481700299</v>
      </c>
      <c r="S6" s="85">
        <f>IF(Summary!$D$2=2025,'Sales Allocations &amp; CCC'!O3,'Sales Allocations &amp; CCC'!O4)</f>
        <v>0.36967490452336516</v>
      </c>
      <c r="T6" s="85">
        <f>IF(Summary!$D$2=2025,'Sales Allocations &amp; CCC'!P3,'Sales Allocations &amp; CCC'!P4)</f>
        <v>0.31719588101999252</v>
      </c>
      <c r="U6" s="85">
        <f>IF(Summary!$D$2=2025,'Sales Allocations &amp; CCC'!Q3,'Sales Allocations &amp; CCC'!Q4)</f>
        <v>0.40671686989565198</v>
      </c>
      <c r="V6" s="236">
        <f>'Sales Allocations &amp; CCC'!S3</f>
        <v>8.0000000000000004E-4</v>
      </c>
      <c r="AD6" s="259"/>
    </row>
    <row r="7" spans="1:32" ht="15.6">
      <c r="B7" s="241" t="s">
        <v>5</v>
      </c>
      <c r="C7" s="154">
        <f>INDEX('Incremental Rev Req'!$O$8:$T$23,MATCH(B7,'Incremental Rev Req'!$O$8:$O$23,0),MATCH(Summary!$D$2,'Incremental Rev Req'!$O$8:$T$8,0))</f>
        <v>2526646.4734389815</v>
      </c>
      <c r="D7" s="154">
        <f>INDEX('Incremental Rev Req'!$O$89:$T$107,MATCH(B7,'Incremental Rev Req'!$O$89:$O$107,0),MATCH(Summary!$D$2,'Incremental Rev Req'!$O$89:$T$89,0))</f>
        <v>2672799.8357733805</v>
      </c>
      <c r="G7" s="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AD7" s="230"/>
    </row>
    <row r="8" spans="1:32" ht="15.6" customHeight="1">
      <c r="B8" s="241" t="s">
        <v>98</v>
      </c>
      <c r="C8" s="154">
        <f>INDEX('Incremental Rev Req'!$O$8:$T$23,MATCH(B8,'Incremental Rev Req'!$O$8:$O$23,0),MATCH(Summary!$D$2,'Incremental Rev Req'!$O$8:$T$8,0))</f>
        <v>-246532.22998150348</v>
      </c>
      <c r="D8" s="154">
        <f>INDEX('Incremental Rev Req'!$O$89:$T$107,MATCH(B8,'Incremental Rev Req'!$O$89:$O$107,0),MATCH(Summary!$D$2,'Incremental Rev Req'!$O$89:$T$89,0))</f>
        <v>-149108.549279297</v>
      </c>
      <c r="G8" s="87"/>
      <c r="H8" s="573" t="s">
        <v>164</v>
      </c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AD8" s="230"/>
    </row>
    <row r="9" spans="1:32" ht="15.75" customHeight="1">
      <c r="B9" s="241" t="s">
        <v>14</v>
      </c>
      <c r="C9" s="154">
        <f>INDEX('Incremental Rev Req'!$O$8:$T$23,MATCH(B9,'Incremental Rev Req'!$O$8:$O$23,0),MATCH(Summary!$D$2,'Incremental Rev Req'!$O$8:$T$8,0))</f>
        <v>5662.2347651632936</v>
      </c>
      <c r="D9" s="154">
        <f>INDEX('Incremental Rev Req'!$O$89:$T$107,MATCH(B9,'Incremental Rev Req'!$O$89:$O$107,0),MATCH(Summary!$D$2,'Incremental Rev Req'!$O$89:$T$89,0))</f>
        <v>-1425.1426837329054</v>
      </c>
      <c r="G9" s="88" t="s">
        <v>158</v>
      </c>
      <c r="H9" s="84" t="s">
        <v>3</v>
      </c>
      <c r="I9" s="84" t="s">
        <v>389</v>
      </c>
      <c r="J9" s="84" t="s">
        <v>59</v>
      </c>
      <c r="K9" s="84" t="s">
        <v>5</v>
      </c>
      <c r="L9" s="84" t="s">
        <v>98</v>
      </c>
      <c r="M9" s="84" t="s">
        <v>14</v>
      </c>
      <c r="N9" s="84" t="s">
        <v>80</v>
      </c>
      <c r="O9" s="84" t="s">
        <v>100</v>
      </c>
      <c r="P9" s="84" t="s">
        <v>97</v>
      </c>
      <c r="Q9" s="84" t="s">
        <v>78</v>
      </c>
      <c r="R9" s="84" t="s">
        <v>10</v>
      </c>
      <c r="S9" s="84" t="s">
        <v>225</v>
      </c>
      <c r="T9" s="84" t="s">
        <v>87</v>
      </c>
      <c r="U9" s="84" t="s">
        <v>256</v>
      </c>
      <c r="X9" s="638" t="s">
        <v>484</v>
      </c>
      <c r="AD9" s="230"/>
    </row>
    <row r="10" spans="1:32" ht="15.6">
      <c r="B10" s="241" t="s">
        <v>80</v>
      </c>
      <c r="C10" s="154">
        <f>INDEX('Incremental Rev Req'!$O$8:$T$23,MATCH(B10,'Incremental Rev Req'!$O$8:$O$23,0),MATCH(Summary!$D$2,'Incremental Rev Req'!$O$8:$T$8,0))</f>
        <v>211.66537700000001</v>
      </c>
      <c r="D10" s="154">
        <f>INDEX('Incremental Rev Req'!$O$89:$T$107,MATCH(B10,'Incremental Rev Req'!$O$89:$O$107,0),MATCH(Summary!$D$2,'Incremental Rev Req'!$O$89:$T$89,0))</f>
        <v>-68.065970000000021</v>
      </c>
      <c r="G10" s="1" t="s">
        <v>149</v>
      </c>
      <c r="H10" s="89">
        <f>H6*H11</f>
        <v>254022.16928314176</v>
      </c>
      <c r="I10" s="89">
        <f>I6*I11</f>
        <v>15.497270929775933</v>
      </c>
      <c r="J10" s="89">
        <f>J6*J11</f>
        <v>44246.178973679365</v>
      </c>
      <c r="K10" s="89">
        <f>K6*K11</f>
        <v>1075455.6205065921</v>
      </c>
      <c r="L10" s="89">
        <f t="shared" ref="L10:T10" si="0">L6*L11</f>
        <v>-230124.1393231125</v>
      </c>
      <c r="M10" s="89">
        <f t="shared" si="0"/>
        <v>2289.1016564371771</v>
      </c>
      <c r="N10" s="89">
        <f t="shared" si="0"/>
        <v>79.463533071049739</v>
      </c>
      <c r="O10" s="89">
        <f t="shared" si="0"/>
        <v>125984.82836254378</v>
      </c>
      <c r="P10" s="89">
        <f t="shared" si="0"/>
        <v>0</v>
      </c>
      <c r="Q10" s="89">
        <f t="shared" si="0"/>
        <v>0</v>
      </c>
      <c r="R10" s="89">
        <f t="shared" si="0"/>
        <v>414302.88878172159</v>
      </c>
      <c r="S10" s="89">
        <f>S6*S11</f>
        <v>33942.324233441941</v>
      </c>
      <c r="T10" s="89">
        <f t="shared" si="0"/>
        <v>56.703168867095371</v>
      </c>
      <c r="U10" s="89">
        <f>U6*U11</f>
        <v>-75555.597648218696</v>
      </c>
      <c r="V10" s="89">
        <f>SUM(H10:U10)</f>
        <v>1644715.0387990943</v>
      </c>
      <c r="W10" s="177"/>
      <c r="X10" s="181">
        <f>V10-AD18</f>
        <v>1395977.2280257703</v>
      </c>
      <c r="AB10" s="98"/>
      <c r="AD10" s="230"/>
    </row>
    <row r="11" spans="1:32" ht="15.6">
      <c r="B11" s="242" t="s">
        <v>100</v>
      </c>
      <c r="C11" s="154">
        <f>INDEX('Incremental Rev Req'!$O$8:$T$23,MATCH(B11,'Incremental Rev Req'!$O$8:$O$23,0),MATCH(Summary!$D$2,'Incremental Rev Req'!$O$8:$T$8,0))</f>
        <v>357549.615725193</v>
      </c>
      <c r="D11" s="154">
        <f>INDEX('Incremental Rev Req'!$O$89:$T$107,MATCH(B11,'Incremental Rev Req'!$O$89:$O$107,0),MATCH(Summary!$D$2,'Incremental Rev Req'!$O$89:$T$89,0))</f>
        <v>264030.55944780965</v>
      </c>
      <c r="G11" s="1" t="s">
        <v>165</v>
      </c>
      <c r="H11" s="90">
        <f>C4</f>
        <v>630708.1540856926</v>
      </c>
      <c r="I11" s="90">
        <f>C5</f>
        <v>80.182302790146849</v>
      </c>
      <c r="J11" s="90">
        <f>C6</f>
        <v>111028.10550104988</v>
      </c>
      <c r="K11" s="90">
        <f>C7</f>
        <v>2526646.4734389815</v>
      </c>
      <c r="L11" s="90">
        <f>C8</f>
        <v>-246532.22998150348</v>
      </c>
      <c r="M11" s="90">
        <f>C9</f>
        <v>5662.2347651632936</v>
      </c>
      <c r="N11" s="90">
        <f>C10</f>
        <v>211.66537700000001</v>
      </c>
      <c r="O11" s="90">
        <f>C11</f>
        <v>357549.615725193</v>
      </c>
      <c r="P11" s="90">
        <f>C12</f>
        <v>0</v>
      </c>
      <c r="Q11" s="90">
        <f>C16</f>
        <v>0</v>
      </c>
      <c r="R11" s="90">
        <f>C14</f>
        <v>862705.42626704415</v>
      </c>
      <c r="S11" s="90">
        <f>C17</f>
        <v>91816.684925380512</v>
      </c>
      <c r="T11" s="90">
        <f>C15</f>
        <v>178.76388774267036</v>
      </c>
      <c r="U11" s="90">
        <f>C13</f>
        <v>-185769.51988149245</v>
      </c>
      <c r="V11" s="89">
        <f>SUM(H11:U11)</f>
        <v>4154285.5564130405</v>
      </c>
      <c r="W11" s="176"/>
      <c r="X11" s="181">
        <f>V11-AD18</f>
        <v>3905547.7456397163</v>
      </c>
      <c r="AB11" s="98"/>
      <c r="AC11" s="98"/>
    </row>
    <row r="12" spans="1:32" ht="15.6">
      <c r="B12" s="241" t="s">
        <v>97</v>
      </c>
      <c r="C12" s="154">
        <f>INDEX('Incremental Rev Req'!$O$8:$T$23,MATCH(B12,'Incremental Rev Req'!$O$8:$O$23,0),MATCH(Summary!$D$2,'Incremental Rev Req'!$O$8:$T$8,0))</f>
        <v>0</v>
      </c>
      <c r="D12" s="154">
        <f>INDEX('Incremental Rev Req'!$O$89:$T$107,MATCH(B12,'Incremental Rev Req'!$O$89:$O$107,0),MATCH(Summary!$D$2,'Incremental Rev Req'!$O$89:$T$89,0))</f>
        <v>0</v>
      </c>
      <c r="G12" s="88" t="s">
        <v>166</v>
      </c>
      <c r="V12" s="89"/>
      <c r="X12" s="181"/>
      <c r="AC12" s="181"/>
      <c r="AD12" s="167"/>
    </row>
    <row r="13" spans="1:32" ht="15.75" customHeight="1">
      <c r="B13" s="241" t="s">
        <v>256</v>
      </c>
      <c r="C13" s="154">
        <f>INDEX('Incremental Rev Req'!$O$8:$T$23,MATCH(B13,'Incremental Rev Req'!$O$8:$O$23,0),MATCH(Summary!$D$2,'Incremental Rev Req'!$O$8:$T$8,0))</f>
        <v>-185769.51988149245</v>
      </c>
      <c r="D13" s="154">
        <f>INDEX('Incremental Rev Req'!$O$89:$T$107,MATCH(B13,'Incremental Rev Req'!$O$89:$O$107,0),MATCH(Summary!$D$2,'Incremental Rev Req'!$O$89:$T$89,0))</f>
        <v>339156.28319910541</v>
      </c>
      <c r="G13" s="1" t="s">
        <v>149</v>
      </c>
      <c r="H13" s="89">
        <f>H6*H14</f>
        <v>234342.64600799402</v>
      </c>
      <c r="I13" s="89">
        <f>I6*I14</f>
        <v>60.501191033913358</v>
      </c>
      <c r="J13" s="89">
        <f t="shared" ref="J13:T13" si="1">J6*J14</f>
        <v>67117.287924083532</v>
      </c>
      <c r="K13" s="89">
        <f t="shared" si="1"/>
        <v>1137665.1368084624</v>
      </c>
      <c r="L13" s="89">
        <f t="shared" si="1"/>
        <v>-139184.54626070822</v>
      </c>
      <c r="M13" s="89">
        <f t="shared" si="1"/>
        <v>-576.1499855257656</v>
      </c>
      <c r="N13" s="89">
        <f t="shared" si="1"/>
        <v>-25.553364157937274</v>
      </c>
      <c r="O13" s="89">
        <f t="shared" si="1"/>
        <v>93032.807900050364</v>
      </c>
      <c r="P13" s="89">
        <f t="shared" si="1"/>
        <v>0</v>
      </c>
      <c r="Q13" s="89">
        <f t="shared" si="1"/>
        <v>0</v>
      </c>
      <c r="R13" s="89">
        <f t="shared" si="1"/>
        <v>538177.44459180918</v>
      </c>
      <c r="S13" s="89">
        <f>S6*S14</f>
        <v>32731.591850068504</v>
      </c>
      <c r="T13" s="89">
        <f t="shared" si="1"/>
        <v>56.703168867095371</v>
      </c>
      <c r="U13" s="89">
        <f>U6*U14</f>
        <v>137940.58190818346</v>
      </c>
      <c r="V13" s="89">
        <f>SUM(H13:U13)</f>
        <v>2101338.4517401611</v>
      </c>
      <c r="W13" s="177"/>
      <c r="X13" s="181">
        <f>V13-AE18</f>
        <v>1852600.6409668371</v>
      </c>
      <c r="AC13" s="98"/>
      <c r="AD13" s="98"/>
    </row>
    <row r="14" spans="1:32" ht="15.75" customHeight="1">
      <c r="B14" s="241" t="s">
        <v>10</v>
      </c>
      <c r="C14" s="154">
        <f>INDEX('Incremental Rev Req'!$O$8:$T$23,MATCH(B14,'Incremental Rev Req'!$O$8:$O$23,0),MATCH(Summary!$D$2,'Incremental Rev Req'!$O$8:$T$8,0))</f>
        <v>862705.42626704415</v>
      </c>
      <c r="D14" s="154">
        <f>INDEX('Incremental Rev Req'!$O$89:$T$107,MATCH(B14,'Incremental Rev Req'!$O$89:$O$107,0),MATCH(Summary!$D$2,'Incremental Rev Req'!$O$89:$T$89,0))</f>
        <v>1120650.1675842744</v>
      </c>
      <c r="G14" s="1" t="s">
        <v>165</v>
      </c>
      <c r="H14" s="90">
        <f>D4</f>
        <v>581846.13612410286</v>
      </c>
      <c r="I14" s="90">
        <f>D5</f>
        <v>313.03090980522069</v>
      </c>
      <c r="J14" s="90">
        <f>D6</f>
        <v>168419.18324771925</v>
      </c>
      <c r="K14" s="90">
        <f>D7</f>
        <v>2672799.8357733805</v>
      </c>
      <c r="L14" s="90">
        <f>D8</f>
        <v>-149108.549279297</v>
      </c>
      <c r="M14" s="90">
        <f>D9</f>
        <v>-1425.1426837329054</v>
      </c>
      <c r="N14" s="90">
        <f>D10</f>
        <v>-68.065970000000021</v>
      </c>
      <c r="O14" s="90">
        <f>D11</f>
        <v>264030.55944780965</v>
      </c>
      <c r="P14" s="90">
        <f>D12</f>
        <v>0</v>
      </c>
      <c r="Q14" s="90">
        <f>D16</f>
        <v>0</v>
      </c>
      <c r="R14" s="90">
        <f>D14</f>
        <v>1120650.1675842744</v>
      </c>
      <c r="S14" s="90">
        <f>D17</f>
        <v>88541.557594423386</v>
      </c>
      <c r="T14" s="90">
        <f>D15</f>
        <v>178.76388774267036</v>
      </c>
      <c r="U14" s="90">
        <f>D13</f>
        <v>339156.28319910541</v>
      </c>
      <c r="V14" s="89">
        <f>SUM(H14:U14)</f>
        <v>5085333.7598353336</v>
      </c>
      <c r="W14" s="176"/>
      <c r="X14" s="181">
        <f>V14-AE18</f>
        <v>4836595.9490620093</v>
      </c>
      <c r="AC14" s="98"/>
    </row>
    <row r="15" spans="1:32" ht="15.6">
      <c r="B15" s="241" t="s">
        <v>87</v>
      </c>
      <c r="C15" s="154">
        <f>INDEX('Incremental Rev Req'!$O$8:$T$23,MATCH(B15,'Incremental Rev Req'!$O$8:$O$23,0),MATCH(Summary!$D$2,'Incremental Rev Req'!$O$8:$T$8,0))</f>
        <v>178.76388774267036</v>
      </c>
      <c r="D15" s="154">
        <f>INDEX('Incremental Rev Req'!$O$89:$T$107,MATCH(B15,'Incremental Rev Req'!$O$89:$O$107,0),MATCH(Summary!$D$2,'Incremental Rev Req'!$O$89:$T$89,0))</f>
        <v>178.76388774267036</v>
      </c>
      <c r="G15" s="91"/>
      <c r="H15" s="39"/>
      <c r="I15" s="39"/>
      <c r="J15" s="39"/>
      <c r="K15" s="39"/>
      <c r="L15" s="87"/>
      <c r="AC15" s="1"/>
      <c r="AD15" s="92" t="s">
        <v>158</v>
      </c>
      <c r="AE15" s="92" t="s">
        <v>166</v>
      </c>
    </row>
    <row r="16" spans="1:32" ht="15.6">
      <c r="B16" s="241" t="s">
        <v>78</v>
      </c>
      <c r="C16" s="154">
        <f>INDEX('Incremental Rev Req'!$O$8:$T$23,MATCH(B16,'Incremental Rev Req'!$O$8:$O$23,0),MATCH(Summary!$D$2,'Incremental Rev Req'!$O$8:$T$8,0))</f>
        <v>0</v>
      </c>
      <c r="D16" s="154">
        <f>INDEX('Incremental Rev Req'!$O$89:$T$107,MATCH(B16,'Incremental Rev Req'!$O$89:$O$107,0),MATCH(Summary!$D$2,'Incremental Rev Req'!$O$89:$T$89,0))</f>
        <v>0</v>
      </c>
      <c r="V16" s="575" t="s">
        <v>262</v>
      </c>
      <c r="W16" s="576"/>
      <c r="X16" s="575" t="s">
        <v>258</v>
      </c>
      <c r="Y16" s="576"/>
      <c r="Z16" s="568" t="s">
        <v>259</v>
      </c>
      <c r="AA16" s="568" t="s">
        <v>260</v>
      </c>
      <c r="AC16" s="93" t="s">
        <v>167</v>
      </c>
      <c r="AD16" s="166">
        <v>0.22330588938421425</v>
      </c>
      <c r="AE16" s="85">
        <f>AD16</f>
        <v>0.22330588938421425</v>
      </c>
      <c r="AF16" s="167"/>
    </row>
    <row r="17" spans="2:32" ht="15.6">
      <c r="B17" s="1" t="s">
        <v>225</v>
      </c>
      <c r="C17" s="154">
        <f>INDEX('Incremental Rev Req'!$O$8:$T$23,MATCH(B17,'Incremental Rev Req'!$O$8:$O$23,0),MATCH(Summary!$D$2,'Incremental Rev Req'!$O$8:$T$8,0))</f>
        <v>91816.684925380512</v>
      </c>
      <c r="D17" s="154">
        <f>INDEX('Incremental Rev Req'!$O$89:$T$107,MATCH(B17,'Incremental Rev Req'!$O$89:$O$107,0),MATCH(Summary!$D$2,'Incremental Rev Req'!$O$89:$T$89,0))</f>
        <v>88541.557594423386</v>
      </c>
      <c r="G17" s="87"/>
      <c r="H17" s="579" t="s">
        <v>254</v>
      </c>
      <c r="I17" s="579"/>
      <c r="J17" s="579"/>
      <c r="K17" s="579"/>
      <c r="L17" s="579"/>
      <c r="M17" s="579"/>
      <c r="N17" s="579"/>
      <c r="O17" s="579"/>
      <c r="P17" s="579"/>
      <c r="Q17" s="579"/>
      <c r="R17" s="579"/>
      <c r="S17" s="579"/>
      <c r="T17" s="579"/>
      <c r="U17" s="578"/>
      <c r="V17" s="577" t="s">
        <v>169</v>
      </c>
      <c r="W17" s="578"/>
      <c r="X17" s="577" t="s">
        <v>169</v>
      </c>
      <c r="Y17" s="578"/>
      <c r="Z17" s="569"/>
      <c r="AA17" s="569"/>
      <c r="AC17" s="93" t="s">
        <v>481</v>
      </c>
      <c r="AD17" s="85">
        <v>0.35</v>
      </c>
      <c r="AE17" s="85">
        <f>AD17</f>
        <v>0.35</v>
      </c>
    </row>
    <row r="18" spans="2:32" ht="31.2">
      <c r="B18" s="2" t="s">
        <v>261</v>
      </c>
      <c r="C18" s="82">
        <f>SUM(C4:C17)</f>
        <v>4154285.5564130414</v>
      </c>
      <c r="D18" s="82">
        <f>SUM(D4:D17)</f>
        <v>5085333.7598353336</v>
      </c>
      <c r="F18" s="279"/>
      <c r="H18" s="84" t="s">
        <v>3</v>
      </c>
      <c r="I18" s="84" t="s">
        <v>389</v>
      </c>
      <c r="J18" s="84" t="s">
        <v>59</v>
      </c>
      <c r="K18" s="84" t="s">
        <v>5</v>
      </c>
      <c r="L18" s="84" t="s">
        <v>98</v>
      </c>
      <c r="M18" s="84" t="s">
        <v>14</v>
      </c>
      <c r="N18" s="84" t="s">
        <v>80</v>
      </c>
      <c r="O18" s="84" t="s">
        <v>100</v>
      </c>
      <c r="P18" s="84" t="s">
        <v>97</v>
      </c>
      <c r="Q18" s="84" t="s">
        <v>78</v>
      </c>
      <c r="R18" s="84" t="s">
        <v>10</v>
      </c>
      <c r="S18" s="84" t="s">
        <v>225</v>
      </c>
      <c r="T18" s="84" t="s">
        <v>87</v>
      </c>
      <c r="U18" s="84" t="s">
        <v>256</v>
      </c>
      <c r="V18" s="94" t="s">
        <v>113</v>
      </c>
      <c r="W18" s="637" t="s">
        <v>484</v>
      </c>
      <c r="X18" s="639" t="s">
        <v>113</v>
      </c>
      <c r="Y18" s="637" t="s">
        <v>484</v>
      </c>
      <c r="Z18" s="94" t="s">
        <v>3</v>
      </c>
      <c r="AA18" s="238" t="s">
        <v>3</v>
      </c>
      <c r="AB18" s="643"/>
      <c r="AC18" s="212" t="s">
        <v>485</v>
      </c>
      <c r="AD18" s="90">
        <f>IF(Summary!$D$2=2025,C31,C32)</f>
        <v>248737.81077332402</v>
      </c>
      <c r="AE18" s="90">
        <f>AD18</f>
        <v>248737.81077332402</v>
      </c>
      <c r="AF18" s="98"/>
    </row>
    <row r="19" spans="2:32" ht="15.6">
      <c r="C19" s="181"/>
      <c r="D19" s="181"/>
      <c r="E19" s="279"/>
      <c r="G19" s="1" t="s">
        <v>149</v>
      </c>
      <c r="H19" s="85">
        <v>1</v>
      </c>
      <c r="I19" s="85">
        <v>0</v>
      </c>
      <c r="J19" s="85">
        <v>1</v>
      </c>
      <c r="K19" s="85">
        <v>1</v>
      </c>
      <c r="L19" s="85">
        <v>1</v>
      </c>
      <c r="M19" s="85">
        <v>1</v>
      </c>
      <c r="N19" s="85">
        <v>1</v>
      </c>
      <c r="O19" s="85">
        <v>1</v>
      </c>
      <c r="P19" s="85">
        <v>1</v>
      </c>
      <c r="Q19" s="85">
        <v>1</v>
      </c>
      <c r="R19" s="85">
        <v>1</v>
      </c>
      <c r="S19" s="85">
        <v>1</v>
      </c>
      <c r="T19" s="85">
        <v>1</v>
      </c>
      <c r="U19" s="85">
        <v>0</v>
      </c>
      <c r="V19" s="95">
        <f>SUMPRODUCT(J10:T10,J19:T19)</f>
        <v>1466232.9698932415</v>
      </c>
      <c r="W19" s="99">
        <f>V19-((AD18)*IF(Summary!$D$2=2025,D31,D32))</f>
        <v>1257523.5727505549</v>
      </c>
      <c r="X19" s="95">
        <f>SUMPRODUCT(J13:T13,J19:T19)</f>
        <v>1728994.7226329492</v>
      </c>
      <c r="Y19" s="96">
        <f>X19-((AE18)*IF(Summary!$D$2=2025,D31,D32))</f>
        <v>1520285.3254902626</v>
      </c>
      <c r="Z19" s="95">
        <f>SUMPRODUCT(H10,H19)</f>
        <v>254022.16928314176</v>
      </c>
      <c r="AA19" s="239">
        <f>SUMPRODUCT(H13,H19)</f>
        <v>234342.64600799402</v>
      </c>
      <c r="AB19" s="643"/>
      <c r="AC19" s="212"/>
      <c r="AD19" s="89"/>
      <c r="AE19" s="89"/>
    </row>
    <row r="20" spans="2:32" ht="15.6">
      <c r="B20" s="2" t="s">
        <v>250</v>
      </c>
      <c r="C20" s="235">
        <f>'Sales Allocations &amp; CCC'!S3</f>
        <v>8.0000000000000004E-4</v>
      </c>
      <c r="D20" s="235">
        <f>'Sales Allocations &amp; CCC'!S3</f>
        <v>8.0000000000000004E-4</v>
      </c>
      <c r="G20" s="1" t="s">
        <v>165</v>
      </c>
      <c r="H20" s="85">
        <v>1</v>
      </c>
      <c r="I20" s="85">
        <v>0</v>
      </c>
      <c r="J20" s="85">
        <v>1</v>
      </c>
      <c r="K20" s="85">
        <v>1</v>
      </c>
      <c r="L20" s="85">
        <v>1</v>
      </c>
      <c r="M20" s="85">
        <v>1</v>
      </c>
      <c r="N20" s="85">
        <v>1</v>
      </c>
      <c r="O20" s="85">
        <v>1</v>
      </c>
      <c r="P20" s="85">
        <v>1</v>
      </c>
      <c r="Q20" s="85">
        <v>1</v>
      </c>
      <c r="R20" s="85">
        <v>1</v>
      </c>
      <c r="S20" s="85">
        <v>1</v>
      </c>
      <c r="T20" s="85">
        <v>1</v>
      </c>
      <c r="U20" s="85">
        <v>0</v>
      </c>
      <c r="V20" s="95">
        <f>SUMPRODUCT(J11:T11,J20:T20)</f>
        <v>3709266.7399060512</v>
      </c>
      <c r="W20" s="99">
        <f>V20-AD18</f>
        <v>3460528.929132727</v>
      </c>
      <c r="X20" s="95">
        <f>SUMPRODUCT(J14:T14,J20:T20)</f>
        <v>4164018.3096023197</v>
      </c>
      <c r="Y20" s="96">
        <f>X20-AE18</f>
        <v>3915280.4988289955</v>
      </c>
      <c r="Z20" s="95">
        <f>SUMPRODUCT(H11,H20)</f>
        <v>630708.1540856926</v>
      </c>
      <c r="AA20" s="239">
        <f>SUMPRODUCT(H14,H20)</f>
        <v>581846.13612410286</v>
      </c>
      <c r="AB20" s="643"/>
      <c r="AC20" s="212" t="s">
        <v>217</v>
      </c>
      <c r="AD20" s="227">
        <v>0.32826850141764163</v>
      </c>
      <c r="AE20" s="227">
        <f>AD20</f>
        <v>0.32826850141764163</v>
      </c>
      <c r="AF20" s="1"/>
    </row>
    <row r="21" spans="2:32" ht="15.6">
      <c r="B21" s="2"/>
      <c r="C21" s="235"/>
      <c r="D21" s="235"/>
      <c r="G21" s="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99"/>
      <c r="V21" s="99"/>
      <c r="W21" s="99"/>
      <c r="X21" s="99"/>
      <c r="Y21" s="99"/>
      <c r="Z21" s="99"/>
      <c r="AB21" s="212"/>
      <c r="AC21" s="312"/>
      <c r="AD21" s="312"/>
      <c r="AE21" s="1"/>
    </row>
    <row r="22" spans="2:32" ht="15.6">
      <c r="B22" s="2"/>
      <c r="C22" s="235"/>
      <c r="D22" s="235"/>
      <c r="G22" s="564" t="s">
        <v>172</v>
      </c>
      <c r="H22" s="565"/>
      <c r="I22" s="565"/>
      <c r="J22" s="565"/>
      <c r="K22" s="565"/>
      <c r="L22" s="566"/>
      <c r="P22" s="1"/>
      <c r="Q22" s="564" t="s">
        <v>173</v>
      </c>
      <c r="R22" s="565"/>
      <c r="S22" s="565"/>
      <c r="T22" s="565"/>
      <c r="U22" s="565"/>
      <c r="V22" s="565"/>
      <c r="W22" s="566"/>
      <c r="X22" s="105"/>
      <c r="AB22" s="93"/>
      <c r="AC22" s="90"/>
      <c r="AD22" s="90"/>
      <c r="AE22" s="168"/>
    </row>
    <row r="23" spans="2:32" ht="46.8">
      <c r="C23" s="570" t="s">
        <v>442</v>
      </c>
      <c r="D23" s="571"/>
      <c r="E23" s="572"/>
      <c r="F23" s="83"/>
      <c r="G23" s="83" t="str">
        <f>Summary!D2&amp;" SALES DETERMINANTS BUNDLED"</f>
        <v>2029 SALES DETERMINANTS BUNDLED</v>
      </c>
      <c r="H23" s="633" t="str">
        <f>Summary!I2&amp;" Avg Rates"&amp;"(sales adj.)"</f>
        <v>10/1/25 Avg Rates(sales adj.)</v>
      </c>
      <c r="I23" s="633" t="s">
        <v>174</v>
      </c>
      <c r="J23" s="633" t="s">
        <v>175</v>
      </c>
      <c r="K23" s="83" t="s">
        <v>176</v>
      </c>
      <c r="L23" s="83" t="s">
        <v>177</v>
      </c>
      <c r="Q23" s="1"/>
      <c r="R23" s="83" t="str">
        <f>C24</f>
        <v>SYSTEM NET</v>
      </c>
      <c r="S23" s="633" t="str">
        <f>H23</f>
        <v>10/1/25 Avg Rates(sales adj.)</v>
      </c>
      <c r="T23" s="83" t="s">
        <v>174</v>
      </c>
      <c r="U23" s="83" t="s">
        <v>175</v>
      </c>
      <c r="V23" s="83" t="s">
        <v>176</v>
      </c>
      <c r="W23" s="83" t="s">
        <v>177</v>
      </c>
      <c r="X23" s="105"/>
      <c r="AB23" s="52"/>
      <c r="AC23" s="438">
        <v>45809</v>
      </c>
      <c r="AD23" s="438">
        <v>45931</v>
      </c>
      <c r="AE23" s="438">
        <v>45809</v>
      </c>
      <c r="AF23" s="438">
        <v>45931</v>
      </c>
    </row>
    <row r="24" spans="2:32" ht="31.2">
      <c r="B24" s="1"/>
      <c r="C24" s="83" t="s">
        <v>339</v>
      </c>
      <c r="D24" s="83" t="s">
        <v>340</v>
      </c>
      <c r="E24" s="83" t="s">
        <v>341</v>
      </c>
      <c r="F24" s="106" t="s">
        <v>149</v>
      </c>
      <c r="G24" s="636">
        <f>IF(Summary!$D$2=2025,E25,E38)</f>
        <v>1313398.550759305</v>
      </c>
      <c r="H24" s="634">
        <f>IF(Summary!$I$8="N",AF26,AD26)</f>
        <v>37.26</v>
      </c>
      <c r="I24" s="478">
        <f>IF(Summary!$I$8="Y",((SUM($J10:$L10,$Q10:$R10,$T10)-($AD$18*IF(Summary!$D$2=2025,D31,D32)))/IF(Summary!$D$2=2025,$C25,$C38)*100)+(SUM($M10:$P10,$S10)/IF(Summary!$D$2=2025,$D25,$D38)*100)+($H10/IF(Summary!$D$2=2025,$E25,$E38)*100),((SUM($J10:$K10,$Q10:$R10,$T10)-($AD$18*IF(Summary!$D$2=2025,D31,D32)))/IF(Summary!$D$2=2025,$C25,$C38)*100)+(SUM($M10:$P10,$S10)/IF(Summary!$D$2=2025,$D25,$D38)*100)+($H10/IF(Summary!$D$2=2025,$E25,$E38)*100))</f>
        <v>41.36837154712623</v>
      </c>
      <c r="J24" s="478">
        <f>IF(Summary!$I$8="Y",((SUM($J13:$L13,$Q13:$R13,$T13)-($AE$18*IF(Summary!$D$2=2025,D31,D32)))/IF(Summary!$D$2=2025,$C25,$C38)*100)+(SUM($M13:$P13,$S13)/IF(Summary!$D$2=2025,$D25,$D38)*100)+($H13/IF(Summary!$D$2=2025,$E25,$E38)*100),((SUM($J13:$K13,$Q13:$R13,$T13)-($AE$18*IF(Summary!$D$2=2025,D31,D32)))/IF(Summary!$D$2=2025,$C25,$C38)*100)+(SUM($M13:$P13,$S13)/IF(Summary!$D$2=2025,$D25,$D38)*100)+($H13/IF(Summary!$D$2=2025,$E25,$E38)*100))</f>
        <v>44.785949294868431</v>
      </c>
      <c r="K24" s="107">
        <f>I24/H24-1</f>
        <v>0.11026225300929227</v>
      </c>
      <c r="L24" s="107">
        <f>J24/H24-1</f>
        <v>0.20198468316877172</v>
      </c>
      <c r="O24" s="284"/>
      <c r="Q24" s="106" t="s">
        <v>149</v>
      </c>
      <c r="R24" s="97">
        <f>IF(Summary!$D$2=2025,C25,C38)</f>
        <v>5529244.7570373612</v>
      </c>
      <c r="S24" s="635">
        <v>35.794815973627038</v>
      </c>
      <c r="T24" s="478">
        <f>I24+($U10/(IF(Summary!$D$2=2025,$C25,$C38)-IF(Summary!$D$2=2025,$E25,$E38))*100)+($I10/(IF(Summary!$D$2=2025,$C25,$C38)-IF(Summary!$D$2=2025,$E25,$E38))*100)</f>
        <v>39.576558072887117</v>
      </c>
      <c r="U24" s="478">
        <f>J24+($U13/(IF(Summary!$D$2=2025,$C25,$C38)-IF(Summary!$D$2=2025,$E25,$E38))*100)+($I13/(IF(Summary!$D$2=2025,$C25,$C38)-IF(Summary!$D$2=2025,$E25,$E38))*100)</f>
        <v>48.059339175498138</v>
      </c>
      <c r="V24" s="107">
        <f>T24/S24-1</f>
        <v>0.1056505529193501</v>
      </c>
      <c r="W24" s="107">
        <f>U24/S24-1</f>
        <v>0.34263406217557812</v>
      </c>
      <c r="X24" s="105"/>
      <c r="Y24" s="1"/>
      <c r="Z24" s="1"/>
      <c r="AB24" s="52"/>
      <c r="AC24" s="574" t="s">
        <v>451</v>
      </c>
      <c r="AD24" s="574"/>
      <c r="AE24" s="574" t="s">
        <v>450</v>
      </c>
      <c r="AF24" s="574"/>
    </row>
    <row r="25" spans="2:32" ht="15.6">
      <c r="B25" s="106" t="s">
        <v>149</v>
      </c>
      <c r="C25" s="237">
        <v>6059160.2764376383</v>
      </c>
      <c r="D25" s="237">
        <v>7793802.9381372696</v>
      </c>
      <c r="E25" s="4">
        <v>1515275.3552196764</v>
      </c>
      <c r="F25" s="106" t="s">
        <v>165</v>
      </c>
      <c r="G25" s="636">
        <f>IF(Summary!$D$2=2025,E26,E39)</f>
        <v>3218717.0926473769</v>
      </c>
      <c r="H25" s="634">
        <f>IF(Summary!$I$8="N",AF27,AD27)</f>
        <v>35.117000000000004</v>
      </c>
      <c r="I25" s="478">
        <f>IF(Summary!$I$8="Y",((SUM($J11:$L11,$Q11:$R11,$T11)-$AD$18)/IF(Summary!$D$2=2025,$C26,$C39)*100)+(SUM($M11:$P11,$S11)/IF(Summary!$D$2=2025,$D26,$D39)*100)+($H11/IF(Summary!$D$2=2025,$E26,$E39)*100),((SUM($J11:$K11,$Q11:$R11,$T11)-$AD$18)/IF(Summary!$D$2=2025,$C26,$C39)*100)+(SUM($M11:$P11,$S11)/IF(Summary!$D$2=2025,$D26,$D39)*100)+($H11/IF(Summary!$D$2=2025,$E26,$E39)*100))</f>
        <v>39.173037443540508</v>
      </c>
      <c r="J25" s="478">
        <f>IF(Summary!$I$8="Y",((SUM($J14:$L14,$Q14:$R14,$T14)-$AE$18)/IF(Summary!$D$2=2025,$C26,$C39)*100)+(SUM($M14:$P14,$S14)/IF(Summary!$D$2=2025,$D26,$D39)*100)+($H14/IF(Summary!$D$2=2025,$E26,$E39)*100),((SUM($J14:$K14,$Q14:$R14,$T14)-$AE$18)/IF(Summary!$D$2=2025,$C26,$C39)*100)+(SUM($M14:$P14,$S14)/IF(Summary!$D$2=2025,$D26,$D39)*100)+($H14/IF(Summary!$D$2=2025,$E26,$E39)*100))</f>
        <v>40.326523832481151</v>
      </c>
      <c r="K25" s="107">
        <f>I25/H25-1</f>
        <v>0.11550068182192397</v>
      </c>
      <c r="L25" s="107">
        <f>J25/H25-1</f>
        <v>0.14834763312586907</v>
      </c>
      <c r="Q25" s="106" t="s">
        <v>165</v>
      </c>
      <c r="R25" s="97">
        <f>IF(Summary!$D$2=2025,C26,C39)</f>
        <v>17431428.835748378</v>
      </c>
      <c r="S25" s="635">
        <v>33.966275336408145</v>
      </c>
      <c r="T25" s="478">
        <f>I25+($U11/(IF(Summary!$D$2=2025,$C26,$C39)-IF(Summary!$D$2=2025,$E26,$E39))*100)+($I11/(IF(Summary!$D$2=2025,$C26,$C39)-IF(Summary!$D$2=2025,$E26,$E39))*100)</f>
        <v>37.866535623654954</v>
      </c>
      <c r="U25" s="478">
        <f>J25+($U14/(IF(Summary!$D$2=2025,$C26,$C39)-IF(Summary!$D$2=2025,$E26,$E39))*100)+($I14/(IF(Summary!$D$2=2025,$C26,$C39)-IF(Summary!$D$2=2025,$E26,$E39))*100)</f>
        <v>42.715014644403041</v>
      </c>
      <c r="V25" s="107">
        <f>T25/S25-1</f>
        <v>0.11482743540814888</v>
      </c>
      <c r="W25" s="107">
        <f>U25/S25-1</f>
        <v>0.25757134750118449</v>
      </c>
      <c r="X25" s="109"/>
      <c r="Y25" s="102"/>
      <c r="Z25" s="102"/>
      <c r="AB25" s="52" t="s">
        <v>341</v>
      </c>
      <c r="AC25" s="52"/>
      <c r="AD25" s="52"/>
      <c r="AE25" s="52"/>
      <c r="AF25" s="52"/>
    </row>
    <row r="26" spans="2:32" ht="15.6">
      <c r="B26" s="106" t="s">
        <v>165</v>
      </c>
      <c r="C26" s="237">
        <v>18290445.652985182</v>
      </c>
      <c r="D26" s="237">
        <v>20272867.503732543</v>
      </c>
      <c r="E26" s="4">
        <v>3877834.6865865677</v>
      </c>
      <c r="F26" s="20"/>
      <c r="I26" s="474"/>
      <c r="J26" s="474"/>
      <c r="S26" s="335"/>
      <c r="T26" s="1"/>
      <c r="U26" s="103"/>
      <c r="V26" s="104"/>
      <c r="W26" s="103"/>
      <c r="X26" s="105"/>
      <c r="Y26" s="104"/>
      <c r="Z26" s="104"/>
      <c r="AB26" s="52" t="s">
        <v>149</v>
      </c>
      <c r="AC26" s="476">
        <v>37.777000000000001</v>
      </c>
      <c r="AD26" s="52">
        <v>37.26</v>
      </c>
      <c r="AE26" s="52">
        <v>41.541999999999994</v>
      </c>
      <c r="AF26" s="52">
        <v>41.024999999999999</v>
      </c>
    </row>
    <row r="27" spans="2:32" ht="15.6">
      <c r="B27" s="282"/>
      <c r="C27" s="237"/>
      <c r="D27" s="237"/>
      <c r="E27" s="4"/>
      <c r="F27" s="1"/>
      <c r="H27" s="4"/>
      <c r="I27" s="4"/>
      <c r="J27" s="170"/>
      <c r="Q27" s="1"/>
      <c r="R27" s="1"/>
      <c r="S27" s="1"/>
      <c r="T27" s="1"/>
      <c r="U27" s="1"/>
      <c r="V27" s="1"/>
      <c r="W27" s="1"/>
      <c r="X27" s="109"/>
      <c r="Y27" s="105"/>
      <c r="Z27" s="105"/>
      <c r="AB27" s="52" t="s">
        <v>165</v>
      </c>
      <c r="AC27" s="477">
        <v>35.430999999999997</v>
      </c>
      <c r="AD27" s="52">
        <v>35.117000000000004</v>
      </c>
      <c r="AE27" s="52">
        <v>36.778999999999996</v>
      </c>
      <c r="AF27" s="52">
        <v>36.465000000000003</v>
      </c>
    </row>
    <row r="28" spans="2:32" ht="15.6">
      <c r="D28" s="1"/>
      <c r="E28" s="1"/>
      <c r="F28" s="1"/>
      <c r="G28" s="285"/>
      <c r="H28" s="4"/>
      <c r="I28" s="4"/>
      <c r="J28" s="4"/>
      <c r="K28" s="20"/>
      <c r="L28" s="2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09"/>
      <c r="Y28" s="105"/>
      <c r="Z28" s="105"/>
      <c r="AC28" s="237"/>
      <c r="AD28" s="1"/>
      <c r="AE28" s="1"/>
    </row>
    <row r="29" spans="2:32" ht="15.6">
      <c r="B29" s="459" t="s">
        <v>483</v>
      </c>
      <c r="C29" s="3"/>
      <c r="D29" s="1"/>
      <c r="E29" s="1"/>
      <c r="I29" s="315"/>
      <c r="J29" s="315"/>
      <c r="K29" s="322"/>
      <c r="L29" s="322"/>
      <c r="M29" s="1"/>
      <c r="N29" s="1"/>
      <c r="O29" s="1"/>
      <c r="P29" s="1"/>
      <c r="Q29" s="106"/>
      <c r="R29" s="1"/>
      <c r="S29" s="1"/>
      <c r="T29" s="1"/>
      <c r="U29" s="1"/>
      <c r="V29" s="1"/>
      <c r="W29" s="1"/>
      <c r="X29" s="105"/>
      <c r="Y29" s="105"/>
      <c r="Z29" s="105"/>
      <c r="AC29" s="3"/>
      <c r="AD29" s="1"/>
      <c r="AE29" s="1"/>
    </row>
    <row r="30" spans="2:32" ht="15.6">
      <c r="B30" s="20"/>
      <c r="C30" s="463" t="s">
        <v>151</v>
      </c>
      <c r="D30" s="464" t="s">
        <v>486</v>
      </c>
      <c r="E30" s="463"/>
      <c r="I30" s="315"/>
      <c r="J30" s="315"/>
      <c r="K30" s="322"/>
      <c r="L30" s="322"/>
      <c r="M30" s="316"/>
      <c r="N30" s="316"/>
      <c r="O30" s="1"/>
      <c r="P30" s="1"/>
      <c r="Q30" s="106"/>
      <c r="R30" s="1"/>
      <c r="S30" s="1"/>
      <c r="T30" s="1"/>
      <c r="U30" s="1"/>
      <c r="V30" s="1"/>
      <c r="W30" s="1"/>
      <c r="X30" s="102"/>
      <c r="Y30" s="109"/>
      <c r="Z30" s="109"/>
      <c r="AE30" s="83"/>
    </row>
    <row r="31" spans="2:32" ht="15.6">
      <c r="B31" s="20" t="s">
        <v>482</v>
      </c>
      <c r="C31" s="461">
        <v>267288.27767325687</v>
      </c>
      <c r="D31" s="462">
        <v>0.84755415059354955</v>
      </c>
      <c r="E31" s="461"/>
      <c r="I31" s="315"/>
      <c r="J31" s="315"/>
      <c r="K31" s="322"/>
      <c r="L31" s="322"/>
      <c r="M31" s="316"/>
      <c r="N31" s="316"/>
      <c r="O31" s="1"/>
      <c r="P31" s="1"/>
      <c r="Q31" s="1"/>
      <c r="R31" s="1"/>
      <c r="S31" s="1"/>
      <c r="T31" s="1"/>
      <c r="U31" s="1"/>
      <c r="V31" s="1"/>
      <c r="W31" s="1"/>
      <c r="X31" s="105"/>
      <c r="Y31" s="105"/>
      <c r="Z31" s="105"/>
      <c r="AE31" s="83"/>
    </row>
    <row r="32" spans="2:32" ht="15.6">
      <c r="B32" s="460" t="s">
        <v>178</v>
      </c>
      <c r="C32" s="461">
        <v>248737.81077332402</v>
      </c>
      <c r="D32" s="462">
        <v>0.83907386855987287</v>
      </c>
      <c r="E32" s="461"/>
      <c r="I32" s="5"/>
      <c r="J32" s="20"/>
      <c r="K32" s="4"/>
      <c r="L32" s="20"/>
      <c r="M32" s="1"/>
      <c r="N32" s="1"/>
      <c r="O32" s="1"/>
      <c r="P32" s="1"/>
      <c r="Q32" s="1"/>
      <c r="R32" s="2"/>
      <c r="S32" s="2"/>
      <c r="T32" s="2"/>
      <c r="U32" s="2"/>
      <c r="V32" s="2"/>
      <c r="W32" s="2"/>
      <c r="X32" s="2"/>
      <c r="Y32" s="109"/>
      <c r="Z32" s="109"/>
      <c r="AA32" s="109"/>
    </row>
    <row r="33" spans="2:28" ht="15.6">
      <c r="B33" s="1"/>
      <c r="C33" s="89"/>
      <c r="D33" s="47"/>
      <c r="I33" s="5"/>
      <c r="J33" s="20"/>
      <c r="K33" s="20"/>
      <c r="L33" s="20"/>
      <c r="M33" s="1"/>
      <c r="N33" s="1"/>
      <c r="O33" s="1"/>
      <c r="P33" s="1"/>
      <c r="Q33" s="1"/>
      <c r="R33" s="2"/>
      <c r="S33" s="2"/>
      <c r="T33" s="2"/>
      <c r="U33" s="2"/>
      <c r="V33" s="2"/>
      <c r="W33" s="2"/>
      <c r="X33" s="2"/>
      <c r="Y33" s="109"/>
      <c r="Z33" s="109"/>
      <c r="AA33" s="109"/>
      <c r="AB33" s="105"/>
    </row>
    <row r="34" spans="2:28" ht="15.6">
      <c r="D34" s="1"/>
      <c r="E34" s="1"/>
      <c r="I34" s="5"/>
      <c r="J34" s="20"/>
      <c r="K34" s="20"/>
      <c r="L34" s="20"/>
      <c r="M34" s="1"/>
      <c r="N34" s="1"/>
      <c r="O34" s="1"/>
      <c r="P34" s="1"/>
      <c r="Q34" s="1"/>
      <c r="R34" s="2"/>
      <c r="S34" s="2"/>
      <c r="T34" s="2"/>
      <c r="U34" s="2"/>
      <c r="V34" s="2"/>
      <c r="W34" s="2"/>
      <c r="X34" s="2"/>
      <c r="Y34" s="105"/>
      <c r="Z34" s="105"/>
      <c r="AA34" s="109"/>
      <c r="AB34" s="105"/>
    </row>
    <row r="35" spans="2:28" ht="15.6">
      <c r="D35" s="1"/>
      <c r="E35" s="20"/>
      <c r="I35" s="314"/>
      <c r="J35" s="20"/>
      <c r="K35" s="20"/>
      <c r="L35" s="20"/>
      <c r="M35" s="1"/>
      <c r="N35" s="1"/>
      <c r="O35" s="1"/>
      <c r="P35" s="1"/>
      <c r="Q35" s="1"/>
      <c r="R35" s="2"/>
      <c r="S35" s="2"/>
      <c r="T35" s="2"/>
      <c r="U35" s="2"/>
      <c r="V35" s="2"/>
      <c r="W35" s="2"/>
      <c r="X35" s="2"/>
      <c r="Y35" s="102"/>
      <c r="Z35" s="102"/>
      <c r="AA35" s="109"/>
      <c r="AB35" s="105"/>
    </row>
    <row r="36" spans="2:28" ht="15.6">
      <c r="C36" s="640" t="s">
        <v>508</v>
      </c>
      <c r="D36" s="641"/>
      <c r="E36" s="642"/>
      <c r="F36" s="106"/>
      <c r="H36" s="4"/>
      <c r="I36" s="314"/>
      <c r="J36" s="20"/>
      <c r="K36" s="20"/>
      <c r="L36" s="20"/>
      <c r="M36" s="1"/>
      <c r="N36" s="1"/>
      <c r="O36" s="1"/>
      <c r="P36" s="1"/>
      <c r="Q36" s="1"/>
      <c r="R36" s="2"/>
      <c r="S36" s="2"/>
      <c r="T36" s="2"/>
      <c r="U36" s="2"/>
      <c r="V36" s="2"/>
      <c r="W36" s="2"/>
      <c r="X36" s="2"/>
      <c r="Y36" s="105"/>
      <c r="Z36" s="105"/>
      <c r="AA36" s="109"/>
      <c r="AB36" s="109"/>
    </row>
    <row r="37" spans="2:28" ht="31.2">
      <c r="B37" s="1"/>
      <c r="C37" s="83" t="s">
        <v>339</v>
      </c>
      <c r="D37" s="83" t="s">
        <v>340</v>
      </c>
      <c r="E37" s="83" t="s">
        <v>341</v>
      </c>
      <c r="F37" s="106"/>
      <c r="H37" s="20"/>
      <c r="I37" s="20"/>
      <c r="J37" s="20"/>
      <c r="K37" s="20"/>
      <c r="L37" s="20"/>
      <c r="M37" s="1"/>
      <c r="N37" s="1"/>
      <c r="O37" s="1"/>
      <c r="P37" s="1"/>
      <c r="Q37" s="1"/>
      <c r="R37" s="2"/>
      <c r="S37" s="2"/>
      <c r="T37" s="2"/>
      <c r="U37" s="2"/>
      <c r="V37" s="2"/>
      <c r="W37" s="2"/>
      <c r="X37" s="2"/>
      <c r="Y37" s="2"/>
      <c r="Z37" s="104"/>
      <c r="AA37" s="104"/>
      <c r="AB37" s="105"/>
    </row>
    <row r="38" spans="2:28" ht="15.6">
      <c r="B38" s="106" t="s">
        <v>149</v>
      </c>
      <c r="C38" s="237">
        <v>5529244.7570373612</v>
      </c>
      <c r="D38" s="237">
        <v>7311830.3174004517</v>
      </c>
      <c r="E38" s="4">
        <v>1313398.550759305</v>
      </c>
      <c r="F38" s="1"/>
      <c r="G38" s="20"/>
      <c r="H38" s="20"/>
      <c r="I38" s="20"/>
      <c r="J38" s="20"/>
      <c r="K38" s="20"/>
      <c r="L38" s="20"/>
      <c r="M38" s="1"/>
      <c r="N38" s="1"/>
      <c r="O38" s="1"/>
      <c r="P38" s="1"/>
      <c r="Q38" s="1"/>
      <c r="R38" s="2"/>
      <c r="S38" s="2"/>
      <c r="T38" s="2"/>
      <c r="U38" s="2"/>
      <c r="V38" s="2"/>
      <c r="W38" s="2"/>
      <c r="X38" s="2"/>
      <c r="Y38" s="2"/>
      <c r="Z38" s="104"/>
      <c r="AA38" s="109"/>
      <c r="AB38" s="104"/>
    </row>
    <row r="39" spans="2:28" ht="15.6">
      <c r="B39" s="106" t="s">
        <v>165</v>
      </c>
      <c r="C39" s="237">
        <v>17431428.835748378</v>
      </c>
      <c r="D39" s="237">
        <v>19476455.217814039</v>
      </c>
      <c r="E39" s="4">
        <v>3218717.0926473769</v>
      </c>
      <c r="F39" s="1"/>
      <c r="G39" s="20"/>
      <c r="H39" s="20"/>
      <c r="I39" s="20"/>
      <c r="J39" s="20"/>
      <c r="K39" s="20"/>
      <c r="L39" s="20"/>
      <c r="M39" s="1"/>
      <c r="N39" s="1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109"/>
      <c r="AA39" s="105"/>
      <c r="AB39" s="105"/>
    </row>
    <row r="40" spans="2:28" ht="15.6">
      <c r="B40" s="2"/>
      <c r="C40" s="2"/>
      <c r="E40" s="1"/>
      <c r="F40" s="1"/>
      <c r="G40" s="20"/>
      <c r="H40" s="20"/>
      <c r="I40" s="20"/>
      <c r="J40" s="20"/>
      <c r="K40" s="20"/>
      <c r="L40" s="20"/>
      <c r="M40" s="1"/>
      <c r="N40" s="1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109"/>
      <c r="AA40" s="109"/>
      <c r="AB40" s="105"/>
    </row>
    <row r="41" spans="2:28" ht="15.6">
      <c r="B41" s="2"/>
      <c r="C41" s="2"/>
      <c r="E41" s="1"/>
      <c r="F41" s="1"/>
      <c r="G41" s="20"/>
      <c r="H41" s="20"/>
      <c r="I41" s="20"/>
      <c r="J41" s="20"/>
      <c r="K41" s="20"/>
      <c r="L41" s="20"/>
      <c r="M41" s="1"/>
      <c r="N41" s="1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109"/>
      <c r="AA41" s="109"/>
      <c r="AB41" s="109"/>
    </row>
    <row r="42" spans="2:28" ht="15.6">
      <c r="B42" s="2"/>
      <c r="C42" s="2"/>
      <c r="E42" s="1"/>
      <c r="F42" s="1"/>
      <c r="G42" s="20"/>
      <c r="H42" s="20"/>
      <c r="I42" s="20"/>
      <c r="J42" s="20"/>
      <c r="K42" s="20"/>
      <c r="L42" s="20"/>
      <c r="M42" s="1"/>
      <c r="N42" s="1"/>
      <c r="O42" s="1"/>
      <c r="P42" s="1"/>
      <c r="Q42" s="1"/>
      <c r="R42" s="1"/>
      <c r="S42" s="1"/>
      <c r="T42" s="1"/>
      <c r="U42" s="103"/>
      <c r="V42" s="104"/>
      <c r="W42" s="104"/>
      <c r="X42" s="104"/>
      <c r="Y42" s="2"/>
      <c r="Z42" s="109"/>
      <c r="AA42" s="105"/>
      <c r="AB42" s="105"/>
    </row>
    <row r="43" spans="2:28" ht="15.6">
      <c r="B43" s="2"/>
      <c r="C43" s="2"/>
      <c r="D43" s="1"/>
      <c r="E43" s="1"/>
      <c r="F43" s="1"/>
      <c r="G43" s="20"/>
      <c r="H43" s="20"/>
      <c r="I43" s="20"/>
      <c r="J43" s="20"/>
      <c r="K43" s="20"/>
      <c r="L43" s="20"/>
      <c r="M43" s="1"/>
      <c r="N43" s="1"/>
      <c r="O43" s="1"/>
      <c r="P43" s="1"/>
      <c r="Q43" s="1"/>
      <c r="R43" s="1"/>
      <c r="S43" s="1"/>
      <c r="T43" s="1"/>
      <c r="U43" s="103"/>
      <c r="V43" s="567"/>
      <c r="W43" s="567"/>
      <c r="X43" s="104"/>
      <c r="Y43" s="2"/>
      <c r="Z43" s="109"/>
      <c r="AA43" s="102"/>
      <c r="AB43" s="105"/>
    </row>
    <row r="44" spans="2:28" ht="15.6">
      <c r="B44" s="2"/>
      <c r="C44" s="2"/>
      <c r="D44" s="1"/>
      <c r="E44" s="1"/>
      <c r="F44" s="1"/>
      <c r="G44" s="20"/>
      <c r="H44" s="20"/>
      <c r="I44" s="20"/>
      <c r="J44" s="20"/>
      <c r="K44" s="20"/>
      <c r="L44" s="20"/>
      <c r="M44" s="1"/>
      <c r="N44" s="1"/>
      <c r="O44" s="1"/>
      <c r="P44" s="1"/>
      <c r="Q44" s="1"/>
      <c r="R44" s="1"/>
      <c r="S44" s="1"/>
      <c r="T44" s="1"/>
      <c r="U44" s="103"/>
      <c r="V44" s="104"/>
      <c r="W44" s="103"/>
      <c r="X44" s="109"/>
      <c r="Y44" s="2"/>
      <c r="Z44" s="109"/>
      <c r="AA44" s="105"/>
      <c r="AB44" s="102"/>
    </row>
    <row r="45" spans="2:28" ht="15.6">
      <c r="B45" s="2"/>
      <c r="C45" s="2"/>
      <c r="D45" s="1"/>
      <c r="E45" s="1"/>
      <c r="F45" s="1"/>
      <c r="G45" s="20"/>
      <c r="H45" s="20"/>
      <c r="I45" s="20"/>
      <c r="J45" s="20"/>
      <c r="K45" s="20"/>
      <c r="L45" s="20"/>
      <c r="M45" s="1"/>
      <c r="N45" s="1"/>
      <c r="O45" s="1"/>
      <c r="P45" s="1"/>
      <c r="Q45" s="1"/>
      <c r="R45" s="1"/>
      <c r="S45" s="1"/>
      <c r="T45" s="1"/>
      <c r="U45" s="103"/>
      <c r="V45" s="104"/>
      <c r="W45" s="103"/>
      <c r="X45" s="109"/>
      <c r="Y45" s="2"/>
      <c r="Z45" s="102"/>
      <c r="AA45" s="104"/>
      <c r="AB45" s="105"/>
    </row>
    <row r="46" spans="2:28" ht="15.6">
      <c r="B46" s="2"/>
      <c r="C46" s="2"/>
      <c r="D46" s="1"/>
      <c r="E46" s="1"/>
      <c r="F46" s="1"/>
      <c r="G46" s="20"/>
      <c r="H46" s="20"/>
      <c r="I46" s="20"/>
      <c r="J46" s="20"/>
      <c r="K46" s="20"/>
      <c r="L46" s="20"/>
      <c r="M46" s="1"/>
      <c r="N46" s="1"/>
      <c r="O46" s="1"/>
      <c r="P46" s="1"/>
      <c r="Q46" s="1"/>
      <c r="R46" s="1"/>
      <c r="S46" s="1"/>
      <c r="T46" s="1"/>
      <c r="U46" s="103"/>
      <c r="V46" s="104"/>
      <c r="W46" s="104"/>
      <c r="X46" s="102"/>
      <c r="Y46" s="2"/>
      <c r="Z46" s="109"/>
      <c r="AA46" s="104"/>
      <c r="AB46" s="104"/>
    </row>
    <row r="47" spans="2:28" ht="15.6">
      <c r="B47" s="2"/>
      <c r="C47" s="2"/>
      <c r="D47" s="1"/>
      <c r="E47" s="1"/>
      <c r="F47" s="1"/>
      <c r="G47" s="20"/>
      <c r="H47" s="20"/>
      <c r="I47" s="20"/>
      <c r="J47" s="20"/>
      <c r="K47" s="20"/>
      <c r="L47" s="20"/>
      <c r="M47" s="1"/>
      <c r="N47" s="1"/>
      <c r="O47" s="1"/>
      <c r="P47" s="1"/>
      <c r="Q47" s="1"/>
      <c r="R47" s="1"/>
      <c r="S47" s="1"/>
      <c r="T47" s="1"/>
      <c r="U47" s="103"/>
      <c r="V47" s="104"/>
      <c r="W47" s="103"/>
      <c r="X47" s="109"/>
      <c r="Y47" s="104"/>
      <c r="Z47" s="104"/>
      <c r="AA47" s="105"/>
      <c r="AB47" s="104"/>
    </row>
    <row r="48" spans="2:28" ht="15.6">
      <c r="B48" s="2"/>
      <c r="C48" s="2"/>
      <c r="D48" s="1"/>
      <c r="E48" s="1"/>
      <c r="F48" s="1"/>
      <c r="G48" s="20"/>
      <c r="H48" s="20"/>
      <c r="I48" s="20"/>
      <c r="J48" s="20"/>
      <c r="K48" s="20"/>
      <c r="L48" s="20"/>
      <c r="M48" s="1"/>
      <c r="N48" s="1"/>
      <c r="O48" s="1"/>
      <c r="P48" s="1"/>
      <c r="Q48" s="1"/>
      <c r="R48" s="1"/>
      <c r="S48" s="1"/>
      <c r="T48" s="1"/>
      <c r="U48" s="103"/>
      <c r="V48" s="104"/>
      <c r="W48" s="104"/>
      <c r="X48" s="104"/>
      <c r="Y48" s="104"/>
      <c r="Z48" s="104"/>
      <c r="AA48" s="105"/>
      <c r="AB48" s="105"/>
    </row>
    <row r="49" spans="2:28" ht="15.6">
      <c r="B49" s="2"/>
      <c r="C49" s="2"/>
      <c r="D49" s="1"/>
      <c r="E49" s="1"/>
      <c r="F49" s="1"/>
      <c r="G49" s="20"/>
      <c r="H49" s="20"/>
      <c r="I49" s="20"/>
      <c r="J49" s="20"/>
      <c r="K49" s="20"/>
      <c r="L49" s="20"/>
      <c r="M49" s="1"/>
      <c r="N49" s="1"/>
      <c r="O49" s="1"/>
      <c r="P49" s="1"/>
      <c r="Q49" s="1"/>
      <c r="R49" s="1"/>
      <c r="S49" s="1"/>
      <c r="T49" s="1"/>
      <c r="U49" s="103"/>
      <c r="V49" s="567"/>
      <c r="W49" s="567"/>
      <c r="X49" s="104"/>
      <c r="Y49" s="109"/>
      <c r="Z49" s="109"/>
      <c r="AA49" s="105"/>
      <c r="AB49" s="105"/>
    </row>
    <row r="50" spans="2:28" ht="15.6">
      <c r="B50" s="2"/>
      <c r="C50" s="2"/>
      <c r="D50" s="1"/>
      <c r="E50" s="1"/>
      <c r="F50" s="1"/>
      <c r="G50" s="20"/>
      <c r="H50" s="20"/>
      <c r="I50" s="20"/>
      <c r="J50" s="20"/>
      <c r="K50" s="20"/>
      <c r="L50" s="20"/>
      <c r="M50" s="1"/>
      <c r="N50" s="1"/>
      <c r="O50" s="1"/>
      <c r="P50" s="1"/>
      <c r="Q50" s="1"/>
      <c r="R50" s="1"/>
      <c r="S50" s="1"/>
      <c r="T50" s="1"/>
      <c r="U50" s="103"/>
      <c r="V50" s="104"/>
      <c r="W50" s="103"/>
      <c r="X50" s="109"/>
      <c r="Y50" s="109"/>
      <c r="Z50" s="109"/>
      <c r="AA50" s="109"/>
      <c r="AB50" s="105"/>
    </row>
    <row r="51" spans="2:28" ht="15.6">
      <c r="B51" s="2"/>
      <c r="C51" s="2"/>
      <c r="D51" s="1"/>
      <c r="E51" s="1"/>
      <c r="F51" s="1"/>
      <c r="G51" s="20"/>
      <c r="H51" s="20"/>
      <c r="I51" s="20"/>
      <c r="J51" s="20"/>
      <c r="K51" s="20"/>
      <c r="L51" s="20"/>
      <c r="M51" s="1"/>
      <c r="N51" s="1"/>
      <c r="O51" s="1"/>
      <c r="P51" s="1"/>
      <c r="Q51" s="1"/>
      <c r="R51" s="1"/>
      <c r="S51" s="1"/>
      <c r="T51" s="1"/>
      <c r="U51" s="103"/>
      <c r="V51" s="104"/>
      <c r="W51" s="103"/>
      <c r="X51" s="109"/>
      <c r="Y51" s="102"/>
      <c r="Z51" s="102"/>
      <c r="AA51" s="109"/>
      <c r="AB51" s="105"/>
    </row>
    <row r="52" spans="2:28" ht="15.6">
      <c r="B52" s="2"/>
      <c r="C52" s="2"/>
      <c r="D52" s="1"/>
      <c r="E52" s="1"/>
      <c r="F52" s="1"/>
      <c r="G52" s="20"/>
      <c r="H52" s="20"/>
      <c r="I52" s="20"/>
      <c r="J52" s="20"/>
      <c r="K52" s="20"/>
      <c r="L52" s="20"/>
      <c r="M52" s="1"/>
      <c r="N52" s="1"/>
      <c r="O52" s="1"/>
      <c r="P52" s="1"/>
      <c r="Q52" s="1"/>
      <c r="R52" s="1"/>
      <c r="S52" s="1"/>
      <c r="T52" s="1"/>
      <c r="U52" s="103"/>
      <c r="V52" s="104"/>
      <c r="W52" s="103"/>
      <c r="X52" s="105"/>
      <c r="Y52" s="109"/>
      <c r="Z52" s="109"/>
      <c r="AA52" s="105"/>
      <c r="AB52" s="105"/>
    </row>
    <row r="53" spans="2:28" ht="15.6">
      <c r="B53" s="2"/>
      <c r="C53" s="2"/>
      <c r="D53" s="1"/>
      <c r="E53" s="1"/>
      <c r="F53" s="1"/>
      <c r="G53" s="20"/>
      <c r="H53" s="20"/>
      <c r="I53" s="20"/>
      <c r="J53" s="20"/>
      <c r="K53" s="20"/>
      <c r="L53" s="20"/>
      <c r="M53" s="1"/>
      <c r="N53" s="1"/>
      <c r="O53" s="1"/>
      <c r="P53" s="1"/>
      <c r="Q53" s="1"/>
      <c r="R53" s="1"/>
      <c r="S53" s="1"/>
      <c r="T53" s="1"/>
      <c r="U53" s="103"/>
      <c r="V53" s="104"/>
      <c r="W53" s="103"/>
      <c r="X53" s="109"/>
      <c r="Y53" s="104"/>
      <c r="Z53" s="104"/>
      <c r="AA53" s="102"/>
      <c r="AB53" s="105"/>
    </row>
    <row r="54" spans="2:28" ht="15.6">
      <c r="B54" s="2"/>
      <c r="C54" s="2"/>
      <c r="D54" s="1"/>
      <c r="E54" s="1"/>
      <c r="F54" s="1"/>
      <c r="G54" s="20"/>
      <c r="H54" s="20"/>
      <c r="I54" s="20"/>
      <c r="J54" s="20"/>
      <c r="K54" s="20"/>
      <c r="L54" s="20"/>
      <c r="M54" s="1"/>
      <c r="N54" s="1"/>
      <c r="O54" s="1"/>
      <c r="P54" s="1"/>
      <c r="Q54" s="1"/>
      <c r="R54" s="1"/>
      <c r="S54" s="1"/>
      <c r="T54" s="1"/>
      <c r="U54" s="103"/>
      <c r="V54" s="104"/>
      <c r="W54" s="103"/>
      <c r="X54" s="109"/>
      <c r="Y54" s="104"/>
      <c r="Z54" s="104"/>
      <c r="AA54" s="105"/>
      <c r="AB54" s="102"/>
    </row>
    <row r="55" spans="2:28" ht="15.6">
      <c r="B55" s="2"/>
      <c r="C55" s="2"/>
      <c r="D55" s="1"/>
      <c r="E55" s="1"/>
      <c r="F55" s="1"/>
      <c r="G55" s="20"/>
      <c r="H55" s="20"/>
      <c r="I55" s="20"/>
      <c r="J55" s="20"/>
      <c r="K55" s="20"/>
      <c r="L55" s="20"/>
      <c r="M55" s="1"/>
      <c r="N55" s="1"/>
      <c r="O55" s="1"/>
      <c r="P55" s="1"/>
      <c r="Q55" s="1"/>
      <c r="R55" s="1"/>
      <c r="S55" s="1"/>
      <c r="T55" s="1"/>
      <c r="U55" s="103"/>
      <c r="V55" s="104"/>
      <c r="W55" s="104"/>
      <c r="X55" s="102"/>
      <c r="Y55" s="109"/>
      <c r="Z55" s="109"/>
      <c r="AA55" s="104"/>
      <c r="AB55" s="105"/>
    </row>
    <row r="56" spans="2:28" ht="15.6">
      <c r="B56" s="1"/>
      <c r="C56" s="1"/>
      <c r="D56" s="1"/>
      <c r="E56" s="1"/>
      <c r="F56" s="1"/>
      <c r="G56" s="20"/>
      <c r="H56" s="20"/>
      <c r="I56" s="20"/>
      <c r="J56" s="20"/>
      <c r="K56" s="20"/>
      <c r="L56" s="20"/>
      <c r="M56" s="1"/>
      <c r="N56" s="1"/>
      <c r="O56" s="1"/>
      <c r="P56" s="1"/>
      <c r="Q56" s="1"/>
      <c r="R56" s="1"/>
      <c r="S56" s="1"/>
      <c r="T56" s="1"/>
      <c r="U56" s="103"/>
      <c r="V56" s="104"/>
      <c r="W56" s="103"/>
      <c r="X56" s="105"/>
      <c r="Y56" s="109"/>
      <c r="Z56" s="109"/>
      <c r="AA56" s="104"/>
      <c r="AB56" s="104"/>
    </row>
    <row r="57" spans="2:28" ht="15.6">
      <c r="B57" s="1"/>
      <c r="C57" s="1"/>
      <c r="D57" s="1"/>
      <c r="E57" s="1"/>
      <c r="F57" s="1"/>
      <c r="G57" s="20"/>
      <c r="H57" s="20"/>
      <c r="I57" s="20"/>
      <c r="J57" s="20"/>
      <c r="K57" s="20"/>
      <c r="L57" s="20"/>
      <c r="M57" s="1"/>
      <c r="N57" s="1"/>
      <c r="O57" s="1"/>
      <c r="P57" s="1"/>
      <c r="Q57" s="1"/>
      <c r="R57" s="1"/>
      <c r="S57" s="1"/>
      <c r="T57" s="1"/>
      <c r="U57" s="103"/>
      <c r="V57" s="104"/>
      <c r="W57" s="104"/>
      <c r="X57" s="104"/>
      <c r="Y57" s="105"/>
      <c r="Z57" s="105"/>
      <c r="AA57" s="109"/>
      <c r="AB57" s="104"/>
    </row>
    <row r="58" spans="2:28" ht="15.6">
      <c r="B58" s="1"/>
      <c r="C58" s="1"/>
      <c r="D58" s="1"/>
      <c r="E58" s="1"/>
      <c r="F58" s="1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03"/>
      <c r="V58" s="104"/>
      <c r="W58" s="104"/>
      <c r="X58" s="104"/>
      <c r="Y58" s="109"/>
      <c r="Z58" s="109"/>
      <c r="AA58" s="109"/>
      <c r="AB58" s="105"/>
    </row>
    <row r="59" spans="2:28" ht="15.6">
      <c r="B59" s="1"/>
      <c r="C59" s="1"/>
      <c r="D59" s="1"/>
      <c r="E59" s="1"/>
      <c r="F59" s="1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03"/>
      <c r="V59" s="104"/>
      <c r="W59" s="103"/>
      <c r="X59" s="105"/>
      <c r="Y59" s="109"/>
      <c r="Z59" s="109"/>
      <c r="AA59" s="102"/>
      <c r="AB59" s="105"/>
    </row>
    <row r="60" spans="2:28" ht="15.6">
      <c r="B60" s="1"/>
      <c r="C60" s="1"/>
      <c r="D60" s="1"/>
      <c r="E60" s="1"/>
      <c r="F60" s="1"/>
      <c r="G60" s="20"/>
      <c r="H60" s="20"/>
      <c r="I60" s="20"/>
      <c r="J60" s="20"/>
      <c r="K60" s="20"/>
      <c r="L60" s="20"/>
      <c r="M60" s="1"/>
      <c r="N60" s="1"/>
      <c r="O60" s="1"/>
      <c r="P60" s="1"/>
      <c r="Q60" s="1"/>
      <c r="R60" s="1"/>
      <c r="S60" s="1"/>
      <c r="T60" s="1"/>
      <c r="U60" s="103"/>
      <c r="V60" s="104"/>
      <c r="W60" s="104"/>
      <c r="X60" s="102"/>
      <c r="Y60" s="102"/>
      <c r="Z60" s="102"/>
      <c r="AA60" s="109"/>
      <c r="AB60" s="102"/>
    </row>
    <row r="61" spans="2:28" ht="15.6">
      <c r="B61" s="1"/>
      <c r="C61" s="1"/>
      <c r="D61" s="1"/>
      <c r="E61" s="1"/>
      <c r="F61" s="1"/>
      <c r="G61" s="20"/>
      <c r="H61" s="20"/>
      <c r="I61" s="20"/>
      <c r="J61" s="20"/>
      <c r="K61" s="20"/>
      <c r="L61" s="20"/>
      <c r="M61" s="1"/>
      <c r="N61" s="1"/>
      <c r="O61" s="1"/>
      <c r="P61" s="1"/>
      <c r="Q61" s="1"/>
      <c r="R61" s="1"/>
      <c r="S61" s="1"/>
      <c r="T61" s="1"/>
      <c r="U61" s="103"/>
      <c r="V61" s="567"/>
      <c r="W61" s="567"/>
      <c r="X61" s="104"/>
      <c r="Y61" s="105"/>
      <c r="Z61" s="105"/>
      <c r="AA61" s="104"/>
      <c r="AB61" s="105"/>
    </row>
    <row r="62" spans="2:28" ht="15.6">
      <c r="B62" s="1"/>
      <c r="C62" s="1"/>
      <c r="D62" s="1"/>
      <c r="E62" s="1"/>
      <c r="F62" s="1"/>
      <c r="G62" s="20"/>
      <c r="H62" s="20"/>
      <c r="I62" s="20"/>
      <c r="J62" s="20"/>
      <c r="K62" s="20"/>
      <c r="L62" s="20"/>
      <c r="M62" s="1"/>
      <c r="N62" s="1"/>
      <c r="O62" s="1"/>
      <c r="P62" s="1"/>
      <c r="Q62" s="1"/>
      <c r="R62" s="1"/>
      <c r="S62" s="1"/>
      <c r="T62" s="1"/>
      <c r="U62" s="103"/>
      <c r="V62" s="104"/>
      <c r="W62" s="104"/>
      <c r="X62" s="104"/>
      <c r="Y62" s="104"/>
      <c r="Z62" s="104"/>
      <c r="AA62" s="104"/>
      <c r="AB62" s="104"/>
    </row>
    <row r="63" spans="2:28" ht="15.6">
      <c r="B63" s="1"/>
      <c r="C63" s="1"/>
      <c r="D63" s="1"/>
      <c r="E63" s="1"/>
      <c r="F63" s="1"/>
      <c r="G63" s="20"/>
      <c r="H63" s="20"/>
      <c r="I63" s="20"/>
      <c r="J63" s="20"/>
      <c r="K63" s="20"/>
      <c r="L63" s="20"/>
      <c r="M63" s="1"/>
      <c r="N63" s="1"/>
      <c r="O63" s="1"/>
      <c r="P63" s="1"/>
      <c r="Q63" s="1"/>
      <c r="R63" s="1"/>
      <c r="S63" s="1"/>
      <c r="T63" s="1"/>
      <c r="U63" s="103"/>
      <c r="V63" s="104"/>
      <c r="W63" s="103"/>
      <c r="X63" s="104"/>
      <c r="Y63" s="104"/>
      <c r="Z63" s="104"/>
      <c r="AA63" s="109"/>
      <c r="AB63" s="104"/>
    </row>
    <row r="64" spans="2:28" ht="15.6">
      <c r="B64" s="1"/>
      <c r="C64" s="1"/>
      <c r="D64" s="1"/>
      <c r="E64" s="1"/>
      <c r="F64" s="1"/>
      <c r="G64" s="20"/>
      <c r="H64" s="20"/>
      <c r="I64" s="20"/>
      <c r="J64" s="20"/>
      <c r="K64" s="20"/>
      <c r="L64" s="20"/>
      <c r="M64" s="1"/>
      <c r="N64" s="1"/>
      <c r="O64" s="1"/>
      <c r="P64" s="1"/>
      <c r="Q64" s="1"/>
      <c r="R64" s="1"/>
      <c r="S64" s="1"/>
      <c r="T64" s="1"/>
      <c r="U64" s="103"/>
      <c r="V64" s="104"/>
      <c r="W64" s="104"/>
      <c r="X64" s="102"/>
      <c r="Y64" s="105"/>
      <c r="Z64" s="105"/>
      <c r="AA64" s="109"/>
      <c r="AB64" s="105"/>
    </row>
    <row r="65" spans="2:28" ht="15.6">
      <c r="B65" s="1"/>
      <c r="C65" s="1"/>
      <c r="D65" s="1"/>
      <c r="E65" s="1"/>
      <c r="F65" s="1"/>
      <c r="G65" s="20"/>
      <c r="H65" s="20"/>
      <c r="I65" s="20"/>
      <c r="J65" s="20"/>
      <c r="K65" s="20"/>
      <c r="L65" s="20"/>
      <c r="M65" s="1"/>
      <c r="N65" s="1"/>
      <c r="O65" s="1"/>
      <c r="P65" s="1"/>
      <c r="Q65" s="1"/>
      <c r="R65" s="1"/>
      <c r="S65" s="1"/>
      <c r="T65" s="1"/>
      <c r="U65" s="103"/>
      <c r="V65" s="104"/>
      <c r="W65" s="103"/>
      <c r="X65" s="104"/>
      <c r="Y65" s="102"/>
      <c r="Z65" s="102"/>
      <c r="AA65" s="109"/>
      <c r="AB65" s="105"/>
    </row>
    <row r="66" spans="2:28" ht="15.6">
      <c r="B66" s="1"/>
      <c r="C66" s="1"/>
      <c r="D66" s="1"/>
      <c r="E66" s="1"/>
      <c r="F66" s="1"/>
      <c r="G66" s="20"/>
      <c r="H66" s="20"/>
      <c r="I66" s="20"/>
      <c r="J66" s="20"/>
      <c r="K66" s="20"/>
      <c r="L66" s="20"/>
      <c r="M66" s="1"/>
      <c r="N66" s="1"/>
      <c r="O66" s="1"/>
      <c r="P66" s="1"/>
      <c r="Q66" s="1"/>
      <c r="R66" s="1"/>
      <c r="S66" s="1"/>
      <c r="T66" s="1"/>
      <c r="U66" s="103"/>
      <c r="V66" s="104"/>
      <c r="W66" s="104"/>
      <c r="X66" s="104"/>
      <c r="Y66" s="104"/>
      <c r="Z66" s="104"/>
      <c r="AA66" s="109"/>
      <c r="AB66" s="105"/>
    </row>
    <row r="67" spans="2:28" ht="15.6">
      <c r="B67" s="1"/>
      <c r="C67" s="1"/>
      <c r="D67" s="1"/>
      <c r="E67" s="1"/>
      <c r="F67" s="1"/>
      <c r="G67" s="20"/>
      <c r="H67" s="20"/>
      <c r="I67" s="20"/>
      <c r="J67" s="20"/>
      <c r="K67" s="20"/>
      <c r="L67" s="20"/>
      <c r="M67" s="1"/>
      <c r="N67" s="1"/>
      <c r="O67" s="1"/>
      <c r="P67" s="1"/>
      <c r="Q67" s="1"/>
      <c r="R67" s="1"/>
      <c r="S67" s="1"/>
      <c r="T67" s="1"/>
      <c r="U67" s="103"/>
      <c r="V67" s="104"/>
      <c r="W67" s="104"/>
      <c r="X67" s="102"/>
      <c r="Y67" s="104"/>
      <c r="Z67" s="104"/>
      <c r="AA67" s="109"/>
      <c r="AB67" s="109"/>
    </row>
    <row r="68" spans="2:28" ht="15.6">
      <c r="B68" s="1"/>
      <c r="C68" s="1"/>
      <c r="D68" s="1"/>
      <c r="E68" s="1"/>
      <c r="F68" s="1"/>
      <c r="G68" s="20"/>
      <c r="H68" s="20"/>
      <c r="I68" s="20"/>
      <c r="J68" s="20"/>
      <c r="K68" s="20"/>
      <c r="L68" s="20"/>
      <c r="M68" s="1"/>
      <c r="N68" s="1"/>
      <c r="O68" s="1"/>
      <c r="P68" s="1"/>
      <c r="Q68" s="1"/>
      <c r="R68" s="1"/>
      <c r="S68" s="1"/>
      <c r="T68" s="1"/>
      <c r="U68" s="103"/>
      <c r="V68" s="567"/>
      <c r="W68" s="567"/>
      <c r="X68" s="105"/>
      <c r="Y68" s="104"/>
      <c r="Z68" s="104"/>
      <c r="AA68" s="102"/>
      <c r="AB68" s="109"/>
    </row>
    <row r="69" spans="2:28" ht="15.6">
      <c r="B69" s="1"/>
      <c r="C69" s="1"/>
      <c r="D69" s="1"/>
      <c r="E69" s="1"/>
      <c r="F69" s="1"/>
      <c r="G69" s="20"/>
      <c r="H69" s="20"/>
      <c r="I69" s="20"/>
      <c r="J69" s="20"/>
      <c r="K69" s="20"/>
      <c r="L69" s="2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02"/>
      <c r="Z69" s="102"/>
      <c r="AA69" s="109"/>
      <c r="AB69" s="102"/>
    </row>
    <row r="70" spans="2:28" ht="15.6">
      <c r="B70" s="1"/>
      <c r="C70" s="1"/>
      <c r="D70" s="1"/>
      <c r="E70" s="1"/>
      <c r="F70" s="1"/>
      <c r="Y70" s="104"/>
      <c r="Z70" s="104"/>
      <c r="AA70" s="104"/>
      <c r="AB70" s="105"/>
    </row>
    <row r="71" spans="2:28" ht="15.6">
      <c r="B71" s="1"/>
      <c r="C71" s="1"/>
      <c r="D71" s="1"/>
      <c r="E71" s="1"/>
      <c r="F71" s="1"/>
      <c r="Y71" s="104"/>
      <c r="Z71" s="104"/>
      <c r="AA71" s="104"/>
      <c r="AB71" s="104"/>
    </row>
    <row r="72" spans="2:28" ht="15.6">
      <c r="B72" s="1"/>
      <c r="C72" s="1"/>
      <c r="D72" s="1"/>
      <c r="E72" s="1"/>
      <c r="F72" s="1"/>
      <c r="Y72" s="102"/>
      <c r="Z72" s="102"/>
      <c r="AA72" s="105"/>
      <c r="AB72" s="104"/>
    </row>
    <row r="73" spans="2:28" ht="15.6">
      <c r="B73" s="1"/>
      <c r="C73" s="1"/>
      <c r="D73" s="1"/>
      <c r="E73" s="1"/>
      <c r="F73" s="1"/>
      <c r="Y73" s="105"/>
      <c r="Z73" s="105"/>
      <c r="AA73" s="102"/>
      <c r="AB73" s="105"/>
    </row>
    <row r="74" spans="2:28" ht="15.6">
      <c r="B74" s="1"/>
      <c r="C74" s="1"/>
      <c r="D74" s="1"/>
      <c r="E74" s="1"/>
      <c r="F74" s="1"/>
      <c r="Y74" s="1"/>
      <c r="Z74" s="1"/>
      <c r="AA74" s="104"/>
      <c r="AB74" s="102"/>
    </row>
    <row r="75" spans="2:28" ht="15.6">
      <c r="B75" s="1"/>
      <c r="C75" s="1"/>
      <c r="D75" s="1"/>
      <c r="E75" s="1"/>
      <c r="AA75" s="104"/>
      <c r="AB75" s="104"/>
    </row>
    <row r="76" spans="2:28" ht="15.6">
      <c r="B76" s="1"/>
      <c r="C76" s="1"/>
      <c r="D76" s="1"/>
      <c r="AA76" s="104"/>
      <c r="AB76" s="104"/>
    </row>
    <row r="77" spans="2:28" ht="15.6">
      <c r="B77" s="1"/>
      <c r="C77" s="1"/>
      <c r="D77" s="1"/>
      <c r="AA77" s="102"/>
      <c r="AB77" s="104"/>
    </row>
    <row r="78" spans="2:28" ht="15.6">
      <c r="B78" s="1"/>
      <c r="C78" s="1"/>
      <c r="D78" s="1"/>
      <c r="AA78" s="104"/>
      <c r="AB78" s="102"/>
    </row>
    <row r="79" spans="2:28" ht="15.6">
      <c r="B79" s="1"/>
      <c r="C79" s="1"/>
      <c r="D79" s="1"/>
      <c r="AA79" s="104"/>
      <c r="AB79" s="104"/>
    </row>
    <row r="80" spans="2:28" ht="15.6">
      <c r="B80" s="1"/>
      <c r="C80" s="1"/>
      <c r="D80" s="1"/>
      <c r="AA80" s="102"/>
      <c r="AB80" s="104"/>
    </row>
    <row r="81" spans="2:28" ht="15.6">
      <c r="B81" s="1"/>
      <c r="C81" s="1"/>
      <c r="D81" s="1"/>
      <c r="AA81" s="105"/>
      <c r="AB81" s="102"/>
    </row>
    <row r="82" spans="2:28" ht="15.6">
      <c r="B82" s="1"/>
      <c r="C82" s="1"/>
      <c r="D82" s="1"/>
      <c r="AA82" s="1"/>
      <c r="AB82" s="105"/>
    </row>
    <row r="83" spans="2:28" ht="15.6">
      <c r="B83" s="1"/>
      <c r="C83" s="1"/>
      <c r="D83" s="1"/>
      <c r="AB83" s="1"/>
    </row>
    <row r="84" spans="2:28" ht="15.6">
      <c r="B84" s="1"/>
      <c r="C84" s="1"/>
      <c r="D84" s="1"/>
    </row>
  </sheetData>
  <autoFilter ref="A1:AE83" xr:uid="{D2A1145E-5B3D-42A6-AF79-8205DD936E8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hiddenButton="1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20">
    <mergeCell ref="AC24:AD24"/>
    <mergeCell ref="AE24:AF24"/>
    <mergeCell ref="V68:W68"/>
    <mergeCell ref="V16:W16"/>
    <mergeCell ref="V17:W17"/>
    <mergeCell ref="X16:Y16"/>
    <mergeCell ref="X17:Y17"/>
    <mergeCell ref="Q22:W22"/>
    <mergeCell ref="V43:W43"/>
    <mergeCell ref="V49:W49"/>
    <mergeCell ref="H17:U17"/>
    <mergeCell ref="C2:D2"/>
    <mergeCell ref="G22:L22"/>
    <mergeCell ref="V61:W61"/>
    <mergeCell ref="Z16:Z17"/>
    <mergeCell ref="AA16:AA17"/>
    <mergeCell ref="C36:E36"/>
    <mergeCell ref="C23:E23"/>
    <mergeCell ref="H4:U4"/>
    <mergeCell ref="H8:U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90B4-6E4B-4488-BF2A-C7F7FCF27B6C}">
  <sheetPr codeName="Sheet4"/>
  <dimension ref="A1:AE97"/>
  <sheetViews>
    <sheetView zoomScale="80" zoomScaleNormal="80" workbookViewId="0"/>
  </sheetViews>
  <sheetFormatPr defaultColWidth="8.88671875" defaultRowHeight="14.4"/>
  <cols>
    <col min="1" max="1" width="7.44140625" style="6" customWidth="1"/>
    <col min="2" max="2" width="18.6640625" style="6" customWidth="1"/>
    <col min="3" max="3" width="13" style="6" customWidth="1"/>
    <col min="4" max="4" width="13.44140625" style="6" bestFit="1" customWidth="1"/>
    <col min="5" max="5" width="18" style="6" bestFit="1" customWidth="1"/>
    <col min="6" max="6" width="13.5546875" style="6" customWidth="1"/>
    <col min="7" max="7" width="15" style="6" bestFit="1" customWidth="1"/>
    <col min="8" max="8" width="14.109375" style="6" customWidth="1"/>
    <col min="9" max="9" width="15" style="6" customWidth="1"/>
    <col min="10" max="10" width="14" style="6" customWidth="1"/>
    <col min="11" max="11" width="15" style="6" bestFit="1" customWidth="1"/>
    <col min="12" max="12" width="13" style="6" customWidth="1"/>
    <col min="13" max="14" width="14.109375" style="6" customWidth="1"/>
    <col min="15" max="15" width="14.5546875" style="6" customWidth="1"/>
    <col min="16" max="16" width="20.109375" style="6" customWidth="1"/>
    <col min="17" max="17" width="13" style="6" customWidth="1"/>
    <col min="18" max="18" width="13.5546875" style="6" customWidth="1"/>
    <col min="19" max="19" width="14" style="6" customWidth="1"/>
    <col min="20" max="20" width="15.5546875" style="6" customWidth="1"/>
    <col min="21" max="21" width="16.5546875" style="6" customWidth="1"/>
    <col min="22" max="23" width="14" style="6" customWidth="1"/>
    <col min="24" max="24" width="29.109375" style="6" bestFit="1" customWidth="1"/>
    <col min="25" max="25" width="14.88671875" style="6" bestFit="1" customWidth="1"/>
    <col min="26" max="26" width="16.109375" style="6" customWidth="1"/>
    <col min="27" max="27" width="13.5546875" style="6" customWidth="1"/>
    <col min="28" max="28" width="8.88671875" style="6"/>
    <col min="29" max="31" width="20.5546875" style="6" customWidth="1"/>
    <col min="32" max="16384" width="8.88671875" style="6"/>
  </cols>
  <sheetData>
    <row r="1" spans="1:31" s="171" customFormat="1" ht="25.5" customHeight="1">
      <c r="A1" s="4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</row>
    <row r="2" spans="1:31">
      <c r="A2" s="87"/>
      <c r="B2" s="582"/>
      <c r="C2" s="582"/>
      <c r="D2" s="582"/>
      <c r="F2" s="87"/>
    </row>
    <row r="3" spans="1:31">
      <c r="E3" s="583" t="s">
        <v>212</v>
      </c>
      <c r="F3" s="583"/>
      <c r="G3" s="583"/>
      <c r="H3" s="583"/>
      <c r="I3" s="583"/>
      <c r="J3" s="583"/>
      <c r="K3" s="583"/>
      <c r="M3" s="110"/>
      <c r="N3" s="110"/>
      <c r="O3" s="110"/>
      <c r="P3" s="583" t="s">
        <v>213</v>
      </c>
      <c r="Q3" s="583"/>
      <c r="R3" s="583"/>
      <c r="S3" s="583"/>
      <c r="T3" s="583"/>
      <c r="U3" s="583"/>
      <c r="V3" s="583"/>
    </row>
    <row r="4" spans="1:31" ht="15.75" customHeight="1">
      <c r="D4" s="148"/>
      <c r="E4" s="148">
        <v>2025</v>
      </c>
      <c r="F4" s="644">
        <v>45931</v>
      </c>
      <c r="G4" s="644">
        <f>F4</f>
        <v>45931</v>
      </c>
      <c r="H4" s="111" t="s">
        <v>178</v>
      </c>
      <c r="I4" s="111" t="s">
        <v>178</v>
      </c>
      <c r="J4" s="111" t="s">
        <v>178</v>
      </c>
      <c r="K4" s="111" t="s">
        <v>178</v>
      </c>
      <c r="L4" s="20"/>
      <c r="O4" s="1"/>
      <c r="P4" s="148">
        <v>2025</v>
      </c>
      <c r="Q4" s="178">
        <f>F4</f>
        <v>45931</v>
      </c>
      <c r="R4" s="178">
        <f>F4</f>
        <v>45931</v>
      </c>
      <c r="S4" s="111" t="s">
        <v>178</v>
      </c>
      <c r="T4" s="111" t="s">
        <v>178</v>
      </c>
      <c r="U4" s="111" t="s">
        <v>178</v>
      </c>
      <c r="V4" s="111" t="s">
        <v>178</v>
      </c>
    </row>
    <row r="5" spans="1:31" ht="30.75" customHeight="1">
      <c r="E5" s="111" t="s">
        <v>266</v>
      </c>
      <c r="F5" s="111" t="s">
        <v>179</v>
      </c>
      <c r="G5" s="111" t="s">
        <v>180</v>
      </c>
      <c r="H5" s="111" t="s">
        <v>181</v>
      </c>
      <c r="I5" s="111" t="s">
        <v>182</v>
      </c>
      <c r="J5" s="111" t="s">
        <v>183</v>
      </c>
      <c r="K5" s="111" t="s">
        <v>184</v>
      </c>
      <c r="L5" s="83"/>
      <c r="M5" s="112"/>
      <c r="N5" s="112"/>
      <c r="O5" s="83"/>
      <c r="P5" s="111" t="s">
        <v>130</v>
      </c>
      <c r="Q5" s="111" t="s">
        <v>179</v>
      </c>
      <c r="R5" s="111" t="s">
        <v>180</v>
      </c>
      <c r="S5" s="111" t="s">
        <v>181</v>
      </c>
      <c r="T5" s="111" t="s">
        <v>182</v>
      </c>
      <c r="U5" s="111" t="s">
        <v>183</v>
      </c>
      <c r="V5" s="111" t="s">
        <v>184</v>
      </c>
    </row>
    <row r="6" spans="1:31" ht="42" customHeight="1">
      <c r="B6" s="113"/>
      <c r="D6" s="113"/>
      <c r="E6" s="1"/>
      <c r="F6" s="1"/>
      <c r="G6" s="1"/>
      <c r="J6" s="20"/>
      <c r="K6" s="20"/>
      <c r="L6" s="20"/>
      <c r="O6" s="113"/>
      <c r="P6" s="1"/>
      <c r="Q6" s="1"/>
      <c r="R6" s="1"/>
      <c r="U6" s="20"/>
      <c r="V6" s="20"/>
      <c r="AD6" s="47"/>
      <c r="AE6" s="47"/>
    </row>
    <row r="7" spans="1:31" ht="15.45" customHeight="1">
      <c r="D7" s="114" t="s">
        <v>185</v>
      </c>
      <c r="E7" s="250">
        <v>91334373.98568216</v>
      </c>
      <c r="F7" s="115">
        <v>0.3739683403997679</v>
      </c>
      <c r="G7" s="116">
        <f t="shared" ref="G7:G12" si="0">F7*E7</f>
        <v>34156164.260877289</v>
      </c>
      <c r="H7" s="173">
        <f t="shared" ref="H7:H12" si="1">F7+(F7*$AD$16)</f>
        <v>0.41503709955203194</v>
      </c>
      <c r="I7" s="116">
        <f t="shared" ref="I7:I12" si="2">E7*H7</f>
        <v>37907153.66841808</v>
      </c>
      <c r="J7" s="173">
        <f t="shared" ref="J7:J12" si="3">F7+(F7*$AE$16)</f>
        <v>0.4311979634637807</v>
      </c>
      <c r="K7" s="116">
        <f t="shared" ref="K7:K12" si="4">E7*J7</f>
        <v>39383196.056865461</v>
      </c>
      <c r="L7" s="117"/>
      <c r="O7" s="114" t="s">
        <v>185</v>
      </c>
      <c r="P7" s="250">
        <v>67894669.90258716</v>
      </c>
      <c r="Q7" s="115">
        <v>0.23921000000000001</v>
      </c>
      <c r="R7" s="116">
        <f t="shared" ref="R7:R12" si="5">Q7*P7</f>
        <v>16241083.987397876</v>
      </c>
      <c r="S7" s="173">
        <f>H7*(1+(Q7/F7-1))</f>
        <v>0.26547975820014946</v>
      </c>
      <c r="T7" s="116">
        <f t="shared" ref="T7:T12" si="6">P7*S7</f>
        <v>18024660.548817806</v>
      </c>
      <c r="U7" s="173">
        <f>J7*(1+(Q7/F7-1))</f>
        <v>0.27581710454395192</v>
      </c>
      <c r="V7" s="116">
        <f t="shared" ref="V7:V12" si="7">P7*U7</f>
        <v>18726511.26649899</v>
      </c>
      <c r="W7" s="117"/>
      <c r="X7" s="6" t="s">
        <v>186</v>
      </c>
      <c r="Y7" s="273" t="s">
        <v>113</v>
      </c>
      <c r="Z7" s="273" t="s">
        <v>329</v>
      </c>
      <c r="AA7" s="273" t="s">
        <v>3</v>
      </c>
      <c r="AC7" s="47"/>
      <c r="AD7" s="47"/>
      <c r="AE7" s="47"/>
    </row>
    <row r="8" spans="1:31" ht="15.6">
      <c r="D8" s="118" t="s">
        <v>187</v>
      </c>
      <c r="E8" s="250">
        <v>141884586.52569643</v>
      </c>
      <c r="F8" s="115">
        <v>0.3739683403997679</v>
      </c>
      <c r="G8" s="116">
        <f t="shared" si="0"/>
        <v>53060343.351321965</v>
      </c>
      <c r="H8" s="173">
        <f t="shared" si="1"/>
        <v>0.41503709955203194</v>
      </c>
      <c r="I8" s="116">
        <f t="shared" si="2"/>
        <v>58887367.262764357</v>
      </c>
      <c r="J8" s="173">
        <f t="shared" si="3"/>
        <v>0.4311979634637807</v>
      </c>
      <c r="K8" s="116">
        <f t="shared" si="4"/>
        <v>61180344.756780878</v>
      </c>
      <c r="L8" s="117"/>
      <c r="O8" s="118" t="s">
        <v>187</v>
      </c>
      <c r="P8" s="250">
        <v>103335801.68831357</v>
      </c>
      <c r="Q8" s="115">
        <v>0.23921000000000001</v>
      </c>
      <c r="R8" s="116">
        <f t="shared" si="5"/>
        <v>24718957.121861491</v>
      </c>
      <c r="S8" s="173">
        <f>H8*(1+(Q8/F8-1))</f>
        <v>0.26547975820014946</v>
      </c>
      <c r="T8" s="116">
        <f t="shared" si="6"/>
        <v>27433563.645632084</v>
      </c>
      <c r="U8" s="173">
        <f>J8*(1+(Q8/F8-1))</f>
        <v>0.27581710454395192</v>
      </c>
      <c r="V8" s="116">
        <f t="shared" si="7"/>
        <v>28501781.617398668</v>
      </c>
      <c r="W8" s="117"/>
      <c r="X8" s="6" t="s">
        <v>188</v>
      </c>
      <c r="Y8" s="648">
        <v>1580000500</v>
      </c>
      <c r="Z8" s="648">
        <v>1340933488</v>
      </c>
      <c r="AA8" s="648">
        <v>239067012</v>
      </c>
      <c r="AC8" s="98"/>
      <c r="AD8" s="98"/>
      <c r="AE8" s="98"/>
    </row>
    <row r="9" spans="1:31" ht="15.6">
      <c r="D9" s="114" t="s">
        <v>214</v>
      </c>
      <c r="E9" s="250">
        <v>97621050.269968837</v>
      </c>
      <c r="F9" s="115">
        <v>0.47087262801621554</v>
      </c>
      <c r="G9" s="116">
        <f t="shared" si="0"/>
        <v>45967080.490323313</v>
      </c>
      <c r="H9" s="173">
        <f t="shared" si="1"/>
        <v>0.52258330098580252</v>
      </c>
      <c r="I9" s="116">
        <f t="shared" si="2"/>
        <v>51015130.695781283</v>
      </c>
      <c r="J9" s="173">
        <f t="shared" si="3"/>
        <v>0.54293183758385477</v>
      </c>
      <c r="K9" s="116">
        <f t="shared" si="4"/>
        <v>53001576.209940046</v>
      </c>
      <c r="L9" s="117"/>
      <c r="O9" s="114" t="s">
        <v>214</v>
      </c>
      <c r="P9" s="250">
        <v>45483203.515582025</v>
      </c>
      <c r="Q9" s="115">
        <v>0.30220000000000002</v>
      </c>
      <c r="R9" s="116">
        <f t="shared" si="5"/>
        <v>13745024.10240889</v>
      </c>
      <c r="S9" s="173">
        <f>H9*(1+(Q9/F9-1))</f>
        <v>0.33538724521585711</v>
      </c>
      <c r="T9" s="116">
        <f t="shared" si="6"/>
        <v>15254486.330683243</v>
      </c>
      <c r="U9" s="173">
        <f>J9*(1+(Q9/F9-1))</f>
        <v>0.34844667444162986</v>
      </c>
      <c r="V9" s="116">
        <f t="shared" si="7"/>
        <v>15848471.007956404</v>
      </c>
      <c r="W9" s="117"/>
      <c r="X9" s="6" t="s">
        <v>190</v>
      </c>
      <c r="Y9" s="172">
        <f>SUM('SAR and RAR'!W19+'SAR and RAR'!Z19-'SAR and RAR'!L10)*1000-Y8</f>
        <v>161669381.35680938</v>
      </c>
      <c r="Z9" s="172">
        <f>(('SAR and RAR'!W19-'SAR and RAR'!L10)*1000)-Z8</f>
        <v>146714224.07366753</v>
      </c>
      <c r="AA9" s="172">
        <f>('SAR and RAR'!Z19*1000)-AA8</f>
        <v>14955157.283141762</v>
      </c>
      <c r="AD9" s="47"/>
      <c r="AE9" s="47"/>
    </row>
    <row r="10" spans="1:31" ht="15.6">
      <c r="D10" s="118" t="s">
        <v>187</v>
      </c>
      <c r="E10" s="250">
        <v>87253759.623688459</v>
      </c>
      <c r="F10" s="115">
        <v>0.47087262801621554</v>
      </c>
      <c r="G10" s="116">
        <f t="shared" si="0"/>
        <v>41085407.098301344</v>
      </c>
      <c r="H10" s="173">
        <f t="shared" si="1"/>
        <v>0.52258330098580252</v>
      </c>
      <c r="I10" s="116">
        <f t="shared" si="2"/>
        <v>45597357.72756885</v>
      </c>
      <c r="J10" s="173">
        <f t="shared" si="3"/>
        <v>0.54293183758385477</v>
      </c>
      <c r="K10" s="116">
        <f t="shared" si="4"/>
        <v>47372844.048589125</v>
      </c>
      <c r="L10" s="117"/>
      <c r="O10" s="118" t="s">
        <v>187</v>
      </c>
      <c r="P10" s="250">
        <v>40015542.791026749</v>
      </c>
      <c r="Q10" s="115">
        <v>0.30220000000000002</v>
      </c>
      <c r="R10" s="116">
        <f t="shared" si="5"/>
        <v>12092697.031448284</v>
      </c>
      <c r="S10" s="173">
        <f>H10*(1+(Q10/F10-1))</f>
        <v>0.33538724521585711</v>
      </c>
      <c r="T10" s="116">
        <f t="shared" si="6"/>
        <v>13420702.662499711</v>
      </c>
      <c r="U10" s="173">
        <f>J10*(1+(Q10/F10-1))</f>
        <v>0.34844667444162986</v>
      </c>
      <c r="V10" s="116">
        <f t="shared" si="7"/>
        <v>13943282.811510006</v>
      </c>
      <c r="W10" s="117"/>
      <c r="X10" s="6" t="s">
        <v>191</v>
      </c>
      <c r="Y10" s="119">
        <f>Y8+Y9</f>
        <v>1741669881.3568094</v>
      </c>
      <c r="Z10" s="119">
        <f>Z8+Z9</f>
        <v>1487647712.0736675</v>
      </c>
      <c r="AA10" s="119">
        <f>AA8+AA9</f>
        <v>254022169.28314176</v>
      </c>
      <c r="AC10" s="47"/>
      <c r="AD10" s="47"/>
      <c r="AE10" s="47"/>
    </row>
    <row r="11" spans="1:31" ht="15.6">
      <c r="D11" s="114" t="s">
        <v>192</v>
      </c>
      <c r="E11" s="250">
        <v>0</v>
      </c>
      <c r="F11" s="115">
        <v>0</v>
      </c>
      <c r="G11" s="116">
        <f t="shared" si="0"/>
        <v>0</v>
      </c>
      <c r="H11" s="173">
        <f t="shared" si="1"/>
        <v>0</v>
      </c>
      <c r="I11" s="116">
        <f t="shared" si="2"/>
        <v>0</v>
      </c>
      <c r="J11" s="173">
        <f t="shared" si="3"/>
        <v>0</v>
      </c>
      <c r="K11" s="116">
        <f t="shared" si="4"/>
        <v>0</v>
      </c>
      <c r="L11" s="117"/>
      <c r="O11" s="114" t="s">
        <v>192</v>
      </c>
      <c r="P11" s="250">
        <v>0</v>
      </c>
      <c r="Q11" s="115">
        <v>0</v>
      </c>
      <c r="R11" s="116">
        <f t="shared" si="5"/>
        <v>0</v>
      </c>
      <c r="S11" s="173">
        <f>Q11+(Q11*$AD$16)</f>
        <v>0</v>
      </c>
      <c r="T11" s="116">
        <f t="shared" si="6"/>
        <v>0</v>
      </c>
      <c r="U11" s="173">
        <f>S11+(S11*$AD$16)</f>
        <v>0</v>
      </c>
      <c r="V11" s="116">
        <f t="shared" si="7"/>
        <v>0</v>
      </c>
      <c r="W11" s="117"/>
      <c r="X11" s="6" t="s">
        <v>193</v>
      </c>
      <c r="Y11" s="219">
        <f>SUM('SAR and RAR'!Y19+'SAR and RAR'!AA19-'SAR and RAR'!L13)*1000-Y8</f>
        <v>313812017.75896478</v>
      </c>
      <c r="Z11" s="219">
        <f>(('SAR and RAR'!Y19-'SAR and RAR'!L13)*1000)-Z8</f>
        <v>318536383.75097084</v>
      </c>
      <c r="AA11" s="219">
        <f>('SAR and RAR'!AA19*1000)-AA8</f>
        <v>-4724365.9920059741</v>
      </c>
      <c r="AC11" s="98"/>
      <c r="AD11" s="275"/>
      <c r="AE11" s="276"/>
    </row>
    <row r="12" spans="1:31" ht="15.6">
      <c r="D12" s="118" t="s">
        <v>187</v>
      </c>
      <c r="E12" s="250">
        <v>0</v>
      </c>
      <c r="F12" s="115">
        <v>0</v>
      </c>
      <c r="G12" s="116">
        <f t="shared" si="0"/>
        <v>0</v>
      </c>
      <c r="H12" s="173">
        <f t="shared" si="1"/>
        <v>0</v>
      </c>
      <c r="I12" s="116">
        <f t="shared" si="2"/>
        <v>0</v>
      </c>
      <c r="J12" s="173">
        <f t="shared" si="3"/>
        <v>0</v>
      </c>
      <c r="K12" s="116">
        <f t="shared" si="4"/>
        <v>0</v>
      </c>
      <c r="L12" s="117"/>
      <c r="O12" s="118" t="s">
        <v>187</v>
      </c>
      <c r="P12" s="250">
        <v>0</v>
      </c>
      <c r="Q12" s="115">
        <v>0</v>
      </c>
      <c r="R12" s="116">
        <f t="shared" si="5"/>
        <v>0</v>
      </c>
      <c r="S12" s="173">
        <f>Q12+(Q12*$AD$16)</f>
        <v>0</v>
      </c>
      <c r="T12" s="116">
        <f t="shared" si="6"/>
        <v>0</v>
      </c>
      <c r="U12" s="173">
        <f>S12+(S12*$AD$16)</f>
        <v>0</v>
      </c>
      <c r="V12" s="116">
        <f t="shared" si="7"/>
        <v>0</v>
      </c>
      <c r="W12" s="117"/>
      <c r="X12" s="6" t="s">
        <v>194</v>
      </c>
      <c r="Y12" s="119">
        <f>Y8+Y11</f>
        <v>1893812517.7589648</v>
      </c>
      <c r="Z12" s="119">
        <f>Z8+Z11</f>
        <v>1659469871.7509708</v>
      </c>
      <c r="AA12" s="119">
        <f>AA8+AA11</f>
        <v>234342646.00799403</v>
      </c>
    </row>
    <row r="13" spans="1:31" ht="15.6">
      <c r="D13" s="118"/>
      <c r="E13" s="120"/>
      <c r="F13" s="121"/>
      <c r="G13" s="122"/>
      <c r="H13" s="1"/>
      <c r="I13" s="123"/>
      <c r="J13" s="1"/>
      <c r="K13" s="123"/>
      <c r="L13" s="117"/>
      <c r="O13" s="118"/>
      <c r="P13" s="122"/>
      <c r="Q13" s="121"/>
      <c r="R13" s="122"/>
      <c r="S13" s="1"/>
      <c r="T13" s="123"/>
      <c r="U13" s="1"/>
      <c r="V13" s="123"/>
      <c r="Z13" s="317"/>
    </row>
    <row r="14" spans="1:31" ht="15.6">
      <c r="D14" s="118"/>
      <c r="E14" s="646" t="s">
        <v>531</v>
      </c>
      <c r="F14" s="115">
        <v>0.79342999999999997</v>
      </c>
      <c r="G14" s="121"/>
      <c r="H14" s="173"/>
      <c r="I14" s="122"/>
      <c r="J14" s="122"/>
      <c r="K14" s="122"/>
      <c r="L14" s="117"/>
      <c r="O14" s="118"/>
      <c r="P14" s="646" t="s">
        <v>531</v>
      </c>
      <c r="Q14" s="115">
        <v>0.19712000000000002</v>
      </c>
      <c r="R14" s="121"/>
      <c r="S14" s="116"/>
      <c r="T14" s="122"/>
      <c r="U14" s="122"/>
      <c r="V14" s="122"/>
      <c r="X14" s="6" t="s">
        <v>374</v>
      </c>
      <c r="Y14" s="273" t="s">
        <v>113</v>
      </c>
      <c r="Z14" s="273" t="s">
        <v>329</v>
      </c>
      <c r="AA14" s="273" t="s">
        <v>3</v>
      </c>
      <c r="AD14" s="47" t="s">
        <v>331</v>
      </c>
      <c r="AE14" s="47" t="s">
        <v>333</v>
      </c>
    </row>
    <row r="15" spans="1:31" ht="15.6">
      <c r="D15" s="118"/>
      <c r="E15" s="646" t="s">
        <v>532</v>
      </c>
      <c r="F15" s="647">
        <f>F14*30</f>
        <v>23.802899999999998</v>
      </c>
      <c r="G15" s="501" t="s">
        <v>533</v>
      </c>
      <c r="I15" s="122"/>
      <c r="J15" s="248"/>
      <c r="K15" s="122"/>
      <c r="L15" s="117"/>
      <c r="O15" s="124"/>
      <c r="P15" s="646" t="s">
        <v>532</v>
      </c>
      <c r="Q15" s="647">
        <f>Q14*30</f>
        <v>5.9136000000000006</v>
      </c>
      <c r="R15" s="501" t="s">
        <v>533</v>
      </c>
      <c r="T15" s="122"/>
      <c r="U15" s="122"/>
      <c r="V15" s="122"/>
      <c r="X15" s="6" t="s">
        <v>375</v>
      </c>
      <c r="Y15" s="317">
        <f>+Z15+AA15</f>
        <v>41.024999999999999</v>
      </c>
      <c r="Z15" s="317">
        <v>25.247999999999998</v>
      </c>
      <c r="AA15" s="317">
        <v>15.776999999999999</v>
      </c>
      <c r="AC15" s="133" t="s">
        <v>330</v>
      </c>
      <c r="AD15" s="273" t="s">
        <v>332</v>
      </c>
      <c r="AE15" s="273" t="s">
        <v>332</v>
      </c>
    </row>
    <row r="16" spans="1:31" ht="15.6">
      <c r="E16" s="251"/>
      <c r="P16" s="122"/>
      <c r="Q16" s="121"/>
      <c r="X16" s="6" t="s">
        <v>191</v>
      </c>
      <c r="Y16" s="317">
        <f>+Z16+AA16</f>
        <v>45.530316793449813</v>
      </c>
      <c r="Z16" s="649">
        <f>((SUM('SAR and RAR'!$J$10:$K$10,'SAR and RAR'!$Q$10:$R$10,'SAR and RAR'!$T$10)-('SAR and RAR'!$AD$18*IF(Summary!$D$2=2025,'SAR and RAR'!D31,'SAR and RAR'!D32)))/IF(Summary!$D$2=2025,'SAR and RAR'!$C$25,'SAR and RAR'!$C$38)*100)+(SUM('SAR and RAR'!$M$10:$P$10,'SAR and RAR'!$S$10)/IF(Summary!$D$2=2025,'SAR and RAR'!$D$25,'SAR and RAR'!$D$38)*100)</f>
        <v>26.189487679828066</v>
      </c>
      <c r="AA16" s="317">
        <f>+('SAR and RAR'!$H$10/IF(Summary!$D$2=2025,'SAR and RAR'!$E$25,'SAR and RAR'!$E$38)*100)</f>
        <v>19.340829113621748</v>
      </c>
      <c r="AC16" s="6">
        <f>'SAR and RAR'!$AF$26/100</f>
        <v>0.41025</v>
      </c>
      <c r="AD16" s="320">
        <f>$Y17/100/$AC$16</f>
        <v>0.10981881275928861</v>
      </c>
      <c r="AE16" s="320">
        <f>$Y19/100/$AC$16</f>
        <v>0.15303333700076047</v>
      </c>
    </row>
    <row r="17" spans="1:31">
      <c r="O17" s="125"/>
      <c r="X17" s="6" t="s">
        <v>190</v>
      </c>
      <c r="Y17" s="467">
        <f>+Y16-Y15</f>
        <v>4.5053167934498148</v>
      </c>
      <c r="Z17" s="649">
        <f>+Z16-Z15</f>
        <v>0.94148767982806802</v>
      </c>
      <c r="AA17" s="317">
        <f>+AA16-AA15</f>
        <v>3.5638291136217486</v>
      </c>
      <c r="AD17" s="466"/>
      <c r="AE17" s="466"/>
    </row>
    <row r="18" spans="1:31">
      <c r="X18" s="6" t="s">
        <v>194</v>
      </c>
      <c r="Y18" s="317">
        <f>+Z18+AA18</f>
        <v>47.303192650456197</v>
      </c>
      <c r="Z18" s="649">
        <f>((SUM('SAR and RAR'!$J$13:$K$13,'SAR and RAR'!$Q$13:$R$13,'SAR and RAR'!$T$10)-('SAR and RAR'!$AE$18*IF(Summary!$D$2=2025,'SAR and RAR'!D31,'SAR and RAR'!D32)))/IF(Summary!$D$2=2025,'SAR and RAR'!$C$25,'SAR and RAR'!$C$38)*100)+(SUM('SAR and RAR'!$M$13:$P$13,'SAR and RAR'!$S$13)/IF(Summary!$D$2=2025,'SAR and RAR'!$D$25,'SAR and RAR'!$D$38)*100)</f>
        <v>29.460729989558995</v>
      </c>
      <c r="AA18" s="317">
        <f>+('SAR and RAR'!$H$13/IF(Summary!$D$2=2025,'SAR and RAR'!$E$25,'SAR and RAR'!$E$38)*100)</f>
        <v>17.842462660897205</v>
      </c>
      <c r="AD18" s="167"/>
      <c r="AE18" s="167"/>
    </row>
    <row r="19" spans="1:31">
      <c r="B19" s="7"/>
      <c r="P19" s="643" t="s">
        <v>463</v>
      </c>
      <c r="X19" s="6" t="s">
        <v>193</v>
      </c>
      <c r="Y19" s="467">
        <f>+Y18-Y15</f>
        <v>6.278192650456198</v>
      </c>
      <c r="Z19" s="317">
        <f>+Z18-Z15</f>
        <v>4.2127299895589978</v>
      </c>
      <c r="AA19" s="317">
        <f>+AA18-AA15</f>
        <v>2.0654626608972055</v>
      </c>
      <c r="AD19" s="167"/>
      <c r="AE19" s="167"/>
    </row>
    <row r="20" spans="1:31">
      <c r="B20" s="126" t="s">
        <v>215</v>
      </c>
      <c r="C20" s="126"/>
      <c r="E20" s="127" t="s">
        <v>178</v>
      </c>
      <c r="F20" s="127" t="s">
        <v>178</v>
      </c>
      <c r="H20" s="126" t="s">
        <v>276</v>
      </c>
      <c r="I20" s="126"/>
      <c r="J20" s="126"/>
      <c r="K20" s="126" t="s">
        <v>277</v>
      </c>
      <c r="L20" s="126"/>
      <c r="M20" s="126"/>
      <c r="N20" s="126"/>
      <c r="P20" s="128" t="s">
        <v>195</v>
      </c>
      <c r="Q20" s="129" t="s">
        <v>196</v>
      </c>
      <c r="R20" s="129" t="s">
        <v>197</v>
      </c>
      <c r="S20" s="129" t="s">
        <v>196</v>
      </c>
      <c r="T20" s="129" t="s">
        <v>197</v>
      </c>
      <c r="U20" s="650" t="s">
        <v>200</v>
      </c>
      <c r="V20" s="651"/>
      <c r="Y20" s="177" t="s">
        <v>489</v>
      </c>
      <c r="AD20" s="167"/>
      <c r="AE20" s="167"/>
    </row>
    <row r="21" spans="1:31" ht="15.6">
      <c r="B21" s="130" t="s">
        <v>179</v>
      </c>
      <c r="C21" s="131" t="str">
        <f>Summary!D31</f>
        <v>6/1/2025</v>
      </c>
      <c r="D21" s="344" t="str">
        <f>Summary!E31</f>
        <v>10/1/25</v>
      </c>
      <c r="E21" s="132" t="s">
        <v>158</v>
      </c>
      <c r="F21" s="132" t="s">
        <v>166</v>
      </c>
      <c r="H21" s="133" t="s">
        <v>195</v>
      </c>
      <c r="I21" s="133" t="s">
        <v>196</v>
      </c>
      <c r="J21" s="133" t="s">
        <v>197</v>
      </c>
      <c r="K21" s="133" t="s">
        <v>195</v>
      </c>
      <c r="L21" s="133" t="s">
        <v>196</v>
      </c>
      <c r="M21" s="133" t="s">
        <v>197</v>
      </c>
      <c r="P21" s="52"/>
      <c r="Q21" s="570" t="s">
        <v>153</v>
      </c>
      <c r="R21" s="572"/>
      <c r="S21" s="570" t="s">
        <v>154</v>
      </c>
      <c r="T21" s="572"/>
      <c r="U21" s="652" t="s">
        <v>153</v>
      </c>
      <c r="V21" s="652" t="s">
        <v>154</v>
      </c>
      <c r="Y21" s="468" t="b">
        <f>ROUND('SAR and RAR'!I24-'SAR and RAR'!H24,3)=ROUND(Y17,3)</f>
        <v>0</v>
      </c>
      <c r="Z21" s="315"/>
      <c r="AA21" s="315"/>
      <c r="AB21" s="47"/>
      <c r="AC21" s="47"/>
      <c r="AD21" s="47"/>
    </row>
    <row r="22" spans="1:31" ht="15.6">
      <c r="A22" s="6" t="s">
        <v>196</v>
      </c>
      <c r="B22" s="134" t="s">
        <v>198</v>
      </c>
      <c r="C22" s="228">
        <v>0.42515831115732605</v>
      </c>
      <c r="D22" s="136">
        <f>F7</f>
        <v>0.3739683403997679</v>
      </c>
      <c r="E22" s="137">
        <f>H7</f>
        <v>0.41503709955203194</v>
      </c>
      <c r="F22" s="137">
        <f>J7</f>
        <v>0.4311979634637807</v>
      </c>
      <c r="H22" s="6" t="s">
        <v>129</v>
      </c>
      <c r="I22" s="155">
        <v>351</v>
      </c>
      <c r="J22" s="155">
        <v>359</v>
      </c>
      <c r="K22" s="6" t="s">
        <v>129</v>
      </c>
      <c r="L22" s="155">
        <v>235</v>
      </c>
      <c r="M22" s="155">
        <v>343</v>
      </c>
      <c r="N22" s="119"/>
      <c r="P22" s="216" t="s">
        <v>227</v>
      </c>
      <c r="Q22" s="139">
        <v>342.91891800000002</v>
      </c>
      <c r="R22" s="139">
        <v>303.58623299999999</v>
      </c>
      <c r="S22" s="139">
        <v>335.11797200000001</v>
      </c>
      <c r="T22" s="139">
        <v>296.54197699999997</v>
      </c>
      <c r="U22" s="653">
        <v>0.59459555720182788</v>
      </c>
      <c r="V22" s="653">
        <v>0.50313208363509809</v>
      </c>
      <c r="Y22" s="469" t="b">
        <f>ROUND('SAR and RAR'!J24-'SAR and RAR'!H24,3)=ROUND(Y19,3)</f>
        <v>0</v>
      </c>
      <c r="Z22" s="315"/>
      <c r="AA22" s="315"/>
      <c r="AB22" s="107"/>
      <c r="AC22" s="316"/>
      <c r="AD22" s="316"/>
    </row>
    <row r="23" spans="1:31" ht="15.6">
      <c r="B23" s="134" t="s">
        <v>199</v>
      </c>
      <c r="C23" s="135">
        <v>0.53532716454975682</v>
      </c>
      <c r="D23" s="136">
        <f>F9</f>
        <v>0.47087262801621554</v>
      </c>
      <c r="E23" s="137">
        <f>H9</f>
        <v>0.52258330098580252</v>
      </c>
      <c r="F23" s="137">
        <f>J9</f>
        <v>0.54293183758385477</v>
      </c>
      <c r="H23" s="6" t="s">
        <v>201</v>
      </c>
      <c r="I23" s="155">
        <v>530</v>
      </c>
      <c r="J23" s="155">
        <v>503</v>
      </c>
      <c r="K23" s="6" t="s">
        <v>201</v>
      </c>
      <c r="L23" s="155">
        <v>593</v>
      </c>
      <c r="M23" s="155">
        <v>863</v>
      </c>
      <c r="N23" s="119"/>
      <c r="P23" s="217" t="s">
        <v>229</v>
      </c>
      <c r="Q23" s="139">
        <v>456.57375300000001</v>
      </c>
      <c r="R23" s="139">
        <v>159.07604699999999</v>
      </c>
      <c r="S23" s="139">
        <v>723.10526300000004</v>
      </c>
      <c r="T23" s="139">
        <v>319.79216300000002</v>
      </c>
      <c r="U23" s="653">
        <v>8.4517877685926866E-3</v>
      </c>
      <c r="V23" s="653">
        <v>8.1500014108484842E-3</v>
      </c>
      <c r="Z23" s="318"/>
      <c r="AB23" s="107"/>
      <c r="AC23" s="316"/>
      <c r="AD23" s="316"/>
    </row>
    <row r="24" spans="1:31" ht="15.6">
      <c r="B24" s="134"/>
      <c r="C24" s="135"/>
      <c r="D24" s="136"/>
      <c r="E24" s="137"/>
      <c r="F24" s="137"/>
      <c r="H24" s="6" t="s">
        <v>202</v>
      </c>
      <c r="I24" s="156">
        <v>620</v>
      </c>
      <c r="J24" s="155">
        <v>425</v>
      </c>
      <c r="K24" s="6" t="s">
        <v>202</v>
      </c>
      <c r="L24" s="156">
        <v>662</v>
      </c>
      <c r="M24" s="155">
        <v>667</v>
      </c>
      <c r="N24" s="119"/>
      <c r="P24" s="217" t="s">
        <v>226</v>
      </c>
      <c r="Q24" s="139">
        <v>349.89450699999998</v>
      </c>
      <c r="R24" s="139">
        <v>266.04762099999999</v>
      </c>
      <c r="S24" s="139">
        <v>443.258692</v>
      </c>
      <c r="T24" s="139">
        <v>336.52605199999999</v>
      </c>
      <c r="U24" s="653">
        <v>1.1409141797468145E-3</v>
      </c>
      <c r="V24" s="653">
        <v>1.5566361609872176E-3</v>
      </c>
      <c r="Z24" s="318"/>
      <c r="AB24" s="107"/>
      <c r="AC24" s="107"/>
      <c r="AD24" s="316"/>
      <c r="AE24" s="316"/>
    </row>
    <row r="25" spans="1:31">
      <c r="A25" s="169" t="s">
        <v>197</v>
      </c>
      <c r="B25" s="174" t="s">
        <v>198</v>
      </c>
      <c r="C25" s="175">
        <v>0.42515831115732605</v>
      </c>
      <c r="D25" s="175">
        <f>F8</f>
        <v>0.3739683403997679</v>
      </c>
      <c r="E25" s="175">
        <f>H8</f>
        <v>0.41503709955203194</v>
      </c>
      <c r="F25" s="175">
        <f>J8</f>
        <v>0.4311979634637807</v>
      </c>
      <c r="H25" s="6" t="s">
        <v>203</v>
      </c>
      <c r="I25" s="155">
        <v>406</v>
      </c>
      <c r="J25" s="155">
        <v>374</v>
      </c>
      <c r="K25" s="6" t="s">
        <v>203</v>
      </c>
      <c r="L25" s="155">
        <v>341</v>
      </c>
      <c r="M25" s="155">
        <v>475</v>
      </c>
      <c r="N25" s="119"/>
      <c r="P25" s="218" t="s">
        <v>228</v>
      </c>
      <c r="Q25" s="145">
        <v>428.26417600000002</v>
      </c>
      <c r="R25" s="145">
        <v>326.89865500000002</v>
      </c>
      <c r="S25" s="145">
        <v>653.23481800000002</v>
      </c>
      <c r="T25" s="145">
        <v>575.31525799999997</v>
      </c>
      <c r="U25" s="653">
        <v>0.39581174084983267</v>
      </c>
      <c r="V25" s="653">
        <v>0.48716127879306614</v>
      </c>
    </row>
    <row r="26" spans="1:31">
      <c r="A26" s="169"/>
      <c r="B26" s="174" t="s">
        <v>199</v>
      </c>
      <c r="C26" s="175">
        <v>0.53532716454975682</v>
      </c>
      <c r="D26" s="175">
        <f>F10</f>
        <v>0.47087262801621554</v>
      </c>
      <c r="E26" s="175">
        <f>H10</f>
        <v>0.52258330098580252</v>
      </c>
      <c r="F26" s="175">
        <f>J10</f>
        <v>0.54293183758385477</v>
      </c>
      <c r="I26" s="119"/>
      <c r="J26" s="119"/>
      <c r="M26" s="119"/>
      <c r="N26" s="119"/>
      <c r="Q26" s="149"/>
      <c r="R26" s="149"/>
      <c r="S26" s="149"/>
      <c r="T26" s="149"/>
      <c r="U26" s="140"/>
      <c r="V26" s="140"/>
    </row>
    <row r="27" spans="1:31">
      <c r="A27" s="169"/>
      <c r="B27" s="174"/>
      <c r="C27" s="175"/>
      <c r="D27" s="175"/>
      <c r="E27" s="175"/>
      <c r="F27" s="175"/>
      <c r="I27" s="119"/>
      <c r="J27" s="119"/>
      <c r="M27" s="119"/>
      <c r="N27" s="119"/>
      <c r="Q27" s="149"/>
      <c r="R27" s="149"/>
      <c r="S27" s="149"/>
      <c r="T27" s="149"/>
      <c r="U27" s="140"/>
      <c r="V27" s="140"/>
    </row>
    <row r="28" spans="1:31">
      <c r="I28" s="119"/>
      <c r="J28" s="119"/>
      <c r="M28" s="119"/>
      <c r="N28" s="119"/>
      <c r="P28" s="643" t="s">
        <v>466</v>
      </c>
      <c r="U28" s="643"/>
      <c r="V28" s="643"/>
    </row>
    <row r="29" spans="1:31">
      <c r="B29" s="126" t="s">
        <v>252</v>
      </c>
      <c r="C29" s="126"/>
      <c r="D29" s="126"/>
      <c r="E29" s="127" t="s">
        <v>178</v>
      </c>
      <c r="F29" s="127" t="s">
        <v>178</v>
      </c>
      <c r="H29" s="126" t="s">
        <v>272</v>
      </c>
      <c r="I29" s="126"/>
      <c r="J29" s="126"/>
      <c r="K29" s="126" t="s">
        <v>271</v>
      </c>
      <c r="L29" s="126"/>
      <c r="M29" s="126"/>
      <c r="N29" s="126"/>
      <c r="P29" s="128" t="s">
        <v>195</v>
      </c>
      <c r="Q29" s="129" t="s">
        <v>196</v>
      </c>
      <c r="R29" s="129" t="s">
        <v>197</v>
      </c>
      <c r="S29" s="129" t="s">
        <v>196</v>
      </c>
      <c r="T29" s="129" t="s">
        <v>197</v>
      </c>
      <c r="U29" s="650" t="s">
        <v>200</v>
      </c>
      <c r="V29" s="651"/>
    </row>
    <row r="30" spans="1:31">
      <c r="B30" s="130" t="s">
        <v>179</v>
      </c>
      <c r="C30" s="131" t="str">
        <f>C21</f>
        <v>6/1/2025</v>
      </c>
      <c r="D30" s="131" t="str">
        <f>D21</f>
        <v>10/1/25</v>
      </c>
      <c r="E30" s="132" t="s">
        <v>158</v>
      </c>
      <c r="F30" s="132" t="s">
        <v>166</v>
      </c>
      <c r="H30" s="133" t="s">
        <v>195</v>
      </c>
      <c r="I30" s="133" t="s">
        <v>196</v>
      </c>
      <c r="J30" s="133" t="s">
        <v>197</v>
      </c>
      <c r="K30" s="133" t="s">
        <v>195</v>
      </c>
      <c r="L30" s="133" t="s">
        <v>196</v>
      </c>
      <c r="M30" s="133" t="s">
        <v>197</v>
      </c>
      <c r="P30" s="52"/>
      <c r="Q30" s="570" t="s">
        <v>153</v>
      </c>
      <c r="R30" s="572"/>
      <c r="S30" s="570" t="s">
        <v>154</v>
      </c>
      <c r="T30" s="572"/>
      <c r="U30" s="652" t="s">
        <v>153</v>
      </c>
      <c r="V30" s="652" t="s">
        <v>154</v>
      </c>
    </row>
    <row r="31" spans="1:31">
      <c r="A31" s="6" t="s">
        <v>196</v>
      </c>
      <c r="B31" s="134" t="s">
        <v>198</v>
      </c>
      <c r="C31" s="135">
        <v>0.26449</v>
      </c>
      <c r="D31" s="136">
        <f>Q7</f>
        <v>0.23921000000000001</v>
      </c>
      <c r="E31" s="137">
        <f>S7</f>
        <v>0.26547975820014946</v>
      </c>
      <c r="F31" s="137">
        <f>U7</f>
        <v>0.27581710454395192</v>
      </c>
      <c r="G31" s="153">
        <f>+E31/E22-1</f>
        <v>-0.3603469220301182</v>
      </c>
      <c r="H31" s="6" t="s">
        <v>129</v>
      </c>
      <c r="I31" s="155">
        <v>270</v>
      </c>
      <c r="J31" s="155">
        <v>276</v>
      </c>
      <c r="K31" s="6" t="s">
        <v>129</v>
      </c>
      <c r="L31" s="155">
        <v>181</v>
      </c>
      <c r="M31" s="155">
        <v>264</v>
      </c>
      <c r="N31" s="119"/>
      <c r="P31" s="216" t="s">
        <v>227</v>
      </c>
      <c r="Q31" s="139">
        <v>293.18844799999999</v>
      </c>
      <c r="R31" s="139">
        <v>272.42403400000001</v>
      </c>
      <c r="S31" s="139">
        <v>300.67371600000001</v>
      </c>
      <c r="T31" s="139">
        <v>283.19878299999999</v>
      </c>
      <c r="U31" s="653">
        <v>0.58715024846943753</v>
      </c>
      <c r="V31" s="653">
        <v>0.4449864204236828</v>
      </c>
    </row>
    <row r="32" spans="1:31">
      <c r="B32" s="134" t="s">
        <v>199</v>
      </c>
      <c r="C32" s="135">
        <v>0.33610000000000001</v>
      </c>
      <c r="D32" s="136">
        <f>Q9</f>
        <v>0.30220000000000002</v>
      </c>
      <c r="E32" s="137">
        <f>S9</f>
        <v>0.33538724521585711</v>
      </c>
      <c r="F32" s="137">
        <f>U9</f>
        <v>0.34844667444162986</v>
      </c>
      <c r="G32" s="153">
        <f>+E32/E23-1</f>
        <v>-0.35821285413601678</v>
      </c>
      <c r="H32" s="6" t="s">
        <v>201</v>
      </c>
      <c r="I32" s="155">
        <v>408</v>
      </c>
      <c r="J32" s="155">
        <v>387</v>
      </c>
      <c r="K32" s="6" t="s">
        <v>201</v>
      </c>
      <c r="L32" s="155">
        <v>456</v>
      </c>
      <c r="M32" s="155">
        <v>664</v>
      </c>
      <c r="N32" s="119"/>
      <c r="P32" s="217" t="s">
        <v>229</v>
      </c>
      <c r="Q32" s="139">
        <v>409.32504399999999</v>
      </c>
      <c r="R32" s="139">
        <v>204.766988</v>
      </c>
      <c r="S32" s="139">
        <v>794.02488100000005</v>
      </c>
      <c r="T32" s="139">
        <v>451.99078700000001</v>
      </c>
      <c r="U32" s="653">
        <v>2.1304685357270696E-2</v>
      </c>
      <c r="V32" s="653">
        <v>1.416621401412276E-2</v>
      </c>
    </row>
    <row r="33" spans="1:31">
      <c r="B33" s="134"/>
      <c r="C33" s="135"/>
      <c r="D33" s="136"/>
      <c r="E33" s="137"/>
      <c r="F33" s="137"/>
      <c r="H33" s="6" t="s">
        <v>202</v>
      </c>
      <c r="I33" s="156">
        <v>477</v>
      </c>
      <c r="J33" s="155">
        <v>327</v>
      </c>
      <c r="K33" s="6" t="s">
        <v>202</v>
      </c>
      <c r="L33" s="156">
        <v>509</v>
      </c>
      <c r="M33" s="155">
        <v>513</v>
      </c>
      <c r="N33" s="119"/>
      <c r="P33" s="217" t="s">
        <v>226</v>
      </c>
      <c r="Q33" s="139">
        <v>355.03963099999999</v>
      </c>
      <c r="R33" s="139">
        <v>334.63756999999998</v>
      </c>
      <c r="S33" s="139">
        <v>413.14660300000003</v>
      </c>
      <c r="T33" s="139">
        <v>348.72256900000002</v>
      </c>
      <c r="U33" s="653">
        <v>5.8665749336407631E-3</v>
      </c>
      <c r="V33" s="653">
        <v>3.6827810972297663E-3</v>
      </c>
    </row>
    <row r="34" spans="1:31">
      <c r="A34" s="169" t="s">
        <v>197</v>
      </c>
      <c r="B34" s="174" t="s">
        <v>198</v>
      </c>
      <c r="C34" s="175">
        <v>0.26449</v>
      </c>
      <c r="D34" s="175">
        <f>Q8</f>
        <v>0.23921000000000001</v>
      </c>
      <c r="E34" s="175">
        <f>S8</f>
        <v>0.26547975820014946</v>
      </c>
      <c r="F34" s="175">
        <f>U8</f>
        <v>0.27581710454395192</v>
      </c>
      <c r="G34" s="153">
        <f>+E34/E25-1</f>
        <v>-0.3603469220301182</v>
      </c>
      <c r="H34" s="6" t="s">
        <v>203</v>
      </c>
      <c r="I34" s="155">
        <v>312</v>
      </c>
      <c r="J34" s="155">
        <v>288</v>
      </c>
      <c r="K34" s="6" t="s">
        <v>203</v>
      </c>
      <c r="L34" s="155">
        <v>262</v>
      </c>
      <c r="M34" s="155">
        <v>365</v>
      </c>
      <c r="N34" s="119"/>
      <c r="P34" s="218" t="s">
        <v>228</v>
      </c>
      <c r="Q34" s="145">
        <v>429.33569299999999</v>
      </c>
      <c r="R34" s="145">
        <v>484.06809399999997</v>
      </c>
      <c r="S34" s="145">
        <v>665.59984699999995</v>
      </c>
      <c r="T34" s="145">
        <v>739.13461700000005</v>
      </c>
      <c r="U34" s="653">
        <v>0.38567849123965098</v>
      </c>
      <c r="V34" s="653">
        <v>0.53716458446496473</v>
      </c>
    </row>
    <row r="35" spans="1:31">
      <c r="A35" s="169"/>
      <c r="B35" s="174" t="s">
        <v>199</v>
      </c>
      <c r="C35" s="175">
        <v>0.33610000000000001</v>
      </c>
      <c r="D35" s="175">
        <f>Q10</f>
        <v>0.30220000000000002</v>
      </c>
      <c r="E35" s="175">
        <f>S10</f>
        <v>0.33538724521585711</v>
      </c>
      <c r="F35" s="175">
        <f>U10</f>
        <v>0.34844667444162986</v>
      </c>
      <c r="G35" s="153">
        <f>+E35/E26-1</f>
        <v>-0.35821285413601678</v>
      </c>
      <c r="I35" s="119"/>
      <c r="J35" s="119"/>
      <c r="M35" s="119"/>
      <c r="N35" s="119"/>
      <c r="Q35" s="149"/>
      <c r="R35" s="149"/>
      <c r="S35" s="149"/>
      <c r="T35" s="149"/>
      <c r="U35" s="140"/>
      <c r="V35" s="142"/>
    </row>
    <row r="36" spans="1:31">
      <c r="A36" s="169"/>
      <c r="B36" s="174"/>
      <c r="C36" s="175"/>
      <c r="D36" s="175"/>
      <c r="E36" s="175"/>
      <c r="F36" s="175"/>
      <c r="I36" s="119"/>
      <c r="J36" s="119"/>
      <c r="M36" s="119"/>
      <c r="N36" s="119"/>
      <c r="Q36" s="149"/>
      <c r="R36" s="149"/>
      <c r="S36" s="149"/>
      <c r="T36" s="149"/>
      <c r="U36" s="140"/>
      <c r="V36" s="142"/>
    </row>
    <row r="37" spans="1:31">
      <c r="B37" s="7"/>
      <c r="C37" s="8"/>
      <c r="D37" s="143"/>
      <c r="E37" s="9"/>
      <c r="F37" s="9"/>
      <c r="I37" s="119"/>
      <c r="J37" s="119"/>
      <c r="M37" s="119"/>
      <c r="N37" s="119"/>
      <c r="Q37" s="149"/>
      <c r="R37" s="149"/>
      <c r="S37" s="149"/>
      <c r="T37" s="149"/>
      <c r="U37" s="140"/>
      <c r="V37" s="142"/>
    </row>
    <row r="38" spans="1:31">
      <c r="B38" s="7"/>
      <c r="C38" s="8"/>
      <c r="D38" s="8"/>
      <c r="E38" s="9"/>
      <c r="F38" s="9"/>
    </row>
    <row r="39" spans="1:31" ht="18">
      <c r="B39" s="247"/>
      <c r="C39" s="584" t="s">
        <v>265</v>
      </c>
      <c r="D39" s="584"/>
      <c r="E39" s="584"/>
      <c r="F39" s="584"/>
      <c r="G39" s="584"/>
      <c r="H39" s="584"/>
      <c r="I39" s="584"/>
      <c r="J39" s="584"/>
      <c r="M39" s="247"/>
      <c r="N39" s="584" t="s">
        <v>265</v>
      </c>
      <c r="O39" s="584"/>
      <c r="P39" s="584"/>
      <c r="Q39" s="584"/>
      <c r="R39" s="584"/>
      <c r="S39" s="584"/>
      <c r="T39" s="584"/>
      <c r="U39" s="584"/>
    </row>
    <row r="40" spans="1:31">
      <c r="B40" s="7"/>
      <c r="C40" s="521" t="s">
        <v>472</v>
      </c>
      <c r="D40" s="521"/>
      <c r="E40" s="521"/>
      <c r="F40" s="521"/>
      <c r="G40" s="521"/>
      <c r="H40" s="521"/>
      <c r="I40" s="521"/>
      <c r="J40" s="521"/>
      <c r="M40" s="7"/>
      <c r="N40" s="521" t="s">
        <v>473</v>
      </c>
      <c r="O40" s="521"/>
      <c r="P40" s="521"/>
      <c r="Q40" s="521"/>
      <c r="R40" s="521"/>
      <c r="S40" s="521"/>
      <c r="T40" s="521"/>
      <c r="U40" s="521"/>
    </row>
    <row r="41" spans="1:31">
      <c r="B41" s="7"/>
      <c r="C41" s="581" t="str">
        <f>C30</f>
        <v>6/1/2025</v>
      </c>
      <c r="D41" s="581"/>
      <c r="E41" s="580" t="str">
        <f>D30</f>
        <v>10/1/25</v>
      </c>
      <c r="F41" s="581"/>
      <c r="G41" s="581" t="str">
        <f>E21</f>
        <v>Authorized</v>
      </c>
      <c r="H41" s="581"/>
      <c r="I41" s="580" t="str">
        <f>F21</f>
        <v>w/Pending</v>
      </c>
      <c r="J41" s="581"/>
      <c r="M41" s="7"/>
      <c r="N41" s="581" t="str">
        <f>C41</f>
        <v>6/1/2025</v>
      </c>
      <c r="O41" s="581"/>
      <c r="P41" s="580" t="str">
        <f>E41</f>
        <v>10/1/25</v>
      </c>
      <c r="Q41" s="581"/>
      <c r="R41" s="581" t="str">
        <f>G41</f>
        <v>Authorized</v>
      </c>
      <c r="S41" s="581"/>
      <c r="T41" s="580" t="str">
        <f>I41</f>
        <v>w/Pending</v>
      </c>
      <c r="U41" s="581"/>
    </row>
    <row r="42" spans="1:31">
      <c r="B42" s="7"/>
      <c r="C42" s="8" t="s">
        <v>196</v>
      </c>
      <c r="D42" s="8" t="s">
        <v>197</v>
      </c>
      <c r="E42" s="8" t="s">
        <v>196</v>
      </c>
      <c r="F42" s="8" t="s">
        <v>197</v>
      </c>
      <c r="G42" s="8" t="s">
        <v>196</v>
      </c>
      <c r="H42" s="8" t="s">
        <v>197</v>
      </c>
      <c r="I42" s="8" t="s">
        <v>196</v>
      </c>
      <c r="J42" s="8" t="s">
        <v>197</v>
      </c>
      <c r="M42" s="7"/>
      <c r="N42" s="8" t="s">
        <v>196</v>
      </c>
      <c r="O42" s="8" t="s">
        <v>197</v>
      </c>
      <c r="P42" s="8" t="s">
        <v>196</v>
      </c>
      <c r="Q42" s="8" t="s">
        <v>197</v>
      </c>
      <c r="R42" s="8" t="s">
        <v>196</v>
      </c>
      <c r="S42" s="8" t="s">
        <v>197</v>
      </c>
      <c r="T42" s="8" t="s">
        <v>196</v>
      </c>
      <c r="U42" s="8" t="s">
        <v>197</v>
      </c>
    </row>
    <row r="43" spans="1:31">
      <c r="B43" s="138" t="s">
        <v>227</v>
      </c>
      <c r="C43" s="159">
        <f>IF($Q22&gt;$I22,C$22*$I22+C$23*($Q22-$I22),$Q22*C$22)+('Incremental Rev Req'!$F$87*$Q22)</f>
        <v>146.06916317517758</v>
      </c>
      <c r="D43" s="159">
        <f>IF($R22&gt;$J22,C$25*$J22+C$26*($R22-$J22),$R22*C$25)+('Incremental Rev Req'!$F$87*$R22)</f>
        <v>129.31507909929448</v>
      </c>
      <c r="E43" s="159">
        <f>$F$15+IF($Q22&gt;$I22,D$22*$I22+D$23*($Q22-$I22),$Q22*D$22)+('Incremental Rev Req'!$F$87*$Q22)</f>
        <v>152.3180537905441</v>
      </c>
      <c r="F43" s="159">
        <f>$F$15+IF($R22&gt;$J22,D$25*$J22+D$26*($R22-$J22),$R22*D$25)+('Incremental Rev Req'!$F$87*$R22)</f>
        <v>137.57740870962724</v>
      </c>
      <c r="G43" s="159">
        <f>$F$15+IF($Q22&gt;$I22,E$22*$I22+E$23*($Q22-$I22),$Q22*E$22)+('Incremental Rev Req'!$F$87*$Q22)</f>
        <v>166.40130824264108</v>
      </c>
      <c r="H43" s="159">
        <f>$F$15+IF($R22&gt;$J22,E$25*$J22+E$26*($R22-$J22),$R22*E$25)+('Incremental Rev Req'!$F$87*$R22)</f>
        <v>150.04531859464737</v>
      </c>
      <c r="I43" s="159">
        <f>$F$15+IF($Q22&gt;$I22,F$22*$I22+F$23*($Q22-$I22),$Q22*F$22)+('Incremental Rev Req'!$F$87*$Q22)</f>
        <v>171.94317420920319</v>
      </c>
      <c r="J43" s="159">
        <f>$F$15+IF($R22&gt;$J22,F$25*$J22+F$26*($R22-$J22),$R22*F$25)+('Incremental Rev Req'!$F$87*$R22)</f>
        <v>154.95153439164079</v>
      </c>
      <c r="M43" s="138" t="s">
        <v>227</v>
      </c>
      <c r="N43" s="159">
        <f>IF($Q31&gt;$L22,C$22*$L22+C$23*($Q31-$L22),$Q31*C$22)+('Incremental Rev Req'!$F$87*$Q31)</f>
        <v>131.29661075776258</v>
      </c>
      <c r="O43" s="159">
        <f>IF($R31&gt;$M22,C$25*$M22+C$26*($R31-$M22),$R31*C$25)+('Incremental Rev Req'!$F$87*$R31)</f>
        <v>116.04128144130598</v>
      </c>
      <c r="P43" s="159">
        <f>$F$15+IF($Q31&gt;$L22,D$22*$L22+D$23*($Q31-$L22),$Q31*D$22)+('Incremental Rev Req'!$F$87*$Q31)</f>
        <v>139.31935818229033</v>
      </c>
      <c r="Q43" s="159">
        <f>$F$15+IF($R31&gt;$M22,D$25*$M22+D$26*($R31-$M22),$R31*D$25)+('Incremental Rev Req'!$F$87*$R31)</f>
        <v>125.89880310718995</v>
      </c>
      <c r="R43" s="159">
        <f>$F$15+IF($Q31&gt;$L22,E$22*$L22+E$23*($Q31-$L22),$Q31*E$22)+('Incremental Rev Req'!$F$87*$Q31)</f>
        <v>151.9794803882082</v>
      </c>
      <c r="S43" s="159">
        <f>$F$15+IF($R31&gt;$M22,E$25*$M22+E$26*($R31-$M22),$R31*E$25)+('Incremental Rev Req'!$F$87*$R31)</f>
        <v>137.08692014682413</v>
      </c>
      <c r="T43" s="159">
        <f>$F$15+IF($Q31&gt;$L22,F$22*$L22+F$23*($Q31-$L22),$Q31*F$22)+('Incremental Rev Req'!$F$87*$Q31)</f>
        <v>156.96133317118102</v>
      </c>
      <c r="U43" s="159">
        <f>$F$15+IF($R31&gt;$M22,F$25*$M22+F$26*($R31-$M22),$R31*F$25)+('Incremental Rev Req'!$F$87*$R31)</f>
        <v>141.48952788658775</v>
      </c>
    </row>
    <row r="44" spans="1:31">
      <c r="B44" s="141" t="s">
        <v>229</v>
      </c>
      <c r="C44" s="159">
        <f>IF($Q23&gt;$I23,C$22*$I23+C$23*($Q23-$I23),$Q23*C$22)+('Incremental Rev Req'!$F$87*$Q23)</f>
        <v>194.48138474664214</v>
      </c>
      <c r="D44" s="159">
        <f>IF($R23&gt;$J23,C$25*$J23+C$26*($R23-$J23),$R23*C$25)+('Incremental Rev Req'!$F$87*$R23)</f>
        <v>67.759764325703429</v>
      </c>
      <c r="E44" s="159">
        <f>$F$15+IF($Q23&gt;$I23,D$22*$I23+D$23*($Q23-$I23),$Q23*D$22)+('Incremental Rev Req'!$F$87*$Q23)</f>
        <v>194.91228768190354</v>
      </c>
      <c r="F44" s="159">
        <f>$F$15+IF($R23&gt;$J23,D$25*$J23+D$26*($R23-$J23),$R23*D$25)+('Incremental Rev Req'!$F$87*$R23)</f>
        <v>83.41956613154548</v>
      </c>
      <c r="G44" s="159">
        <f>$F$15+IF($Q23&gt;$I23,E$22*$I23+E$23*($Q23-$I23),$Q23*E$22)+('Incremental Rev Req'!$F$87*$Q23)</f>
        <v>213.66320517910583</v>
      </c>
      <c r="H44" s="159">
        <f>$F$15+IF($R23&gt;$J23,E$25*$J23+E$26*($R23-$J23),$R23*E$25)+('Incremental Rev Req'!$F$87*$R23)</f>
        <v>89.952621992682708</v>
      </c>
      <c r="I44" s="159">
        <f>$F$15+IF($Q23&gt;$I23,F$22*$I23+F$23*($Q23-$I23),$Q23*F$22)+('Incremental Rev Req'!$F$87*$Q23)</f>
        <v>221.04183146701521</v>
      </c>
      <c r="J44" s="159">
        <f>$F$15+IF($R23&gt;$J23,F$25*$J23+F$26*($R23-$J23),$R23*F$25)+('Incremental Rev Req'!$F$87*$R23)</f>
        <v>92.523428339868659</v>
      </c>
      <c r="M44" s="141" t="s">
        <v>229</v>
      </c>
      <c r="N44" s="159">
        <f>IF($Q32&gt;$L23,C$22*$L23+C$23*($Q32-$L23),$Q32*C$22)+('Incremental Rev Req'!$F$87*$Q32)</f>
        <v>174.35540445663818</v>
      </c>
      <c r="O44" s="159">
        <f>IF($R32&gt;$M23,C$25*$M23+C$26*($R32-$M23),$R32*C$25)+('Incremental Rev Req'!$F$87*$R32)</f>
        <v>87.22220038925245</v>
      </c>
      <c r="P44" s="159">
        <f>$F$15+IF($Q32&gt;$L23,D$22*$L23+D$23*($Q32-$L23),$Q32*D$22)+('Incremental Rev Req'!$F$87*$Q32)</f>
        <v>177.20496742394198</v>
      </c>
      <c r="Q44" s="159">
        <f>$F$15+IF($R32&gt;$M23,D$25*$M23+D$26*($R32-$M23),$R32*D$25)+('Incremental Rev Req'!$F$87*$R32)</f>
        <v>100.54308426141918</v>
      </c>
      <c r="R44" s="159">
        <f>$F$15+IF($Q32&gt;$L23,E$22*$L23+E$23*($Q32-$L23),$Q32*E$22)+('Incremental Rev Req'!$F$87*$Q32)</f>
        <v>194.01543907096786</v>
      </c>
      <c r="S44" s="159">
        <f>$F$15+IF($R32&gt;$M23,E$25*$M23+E$26*($R32-$M23),$R32*E$25)+('Incremental Rev Req'!$F$87*$R32)</f>
        <v>108.95261037392572</v>
      </c>
      <c r="T44" s="159">
        <f>$F$15+IF($Q32&gt;$L23,F$22*$L23+F$23*($Q32-$L23),$Q32*F$22)+('Incremental Rev Req'!$F$87*$Q32)</f>
        <v>200.63048540272243</v>
      </c>
      <c r="U44" s="159">
        <f>$F$15+IF($R32&gt;$M23,F$25*$M23+F$26*($R32-$M23),$R32*F$25)+('Incremental Rev Req'!$F$87*$R32)</f>
        <v>112.26182180061241</v>
      </c>
    </row>
    <row r="45" spans="1:31">
      <c r="B45" s="141" t="s">
        <v>226</v>
      </c>
      <c r="C45" s="159">
        <f>IF($Q24&gt;$I24,C$22*$I24+C$23*($Q24-$I24),$Q24*C$22)+('Incremental Rev Req'!$F$87*$Q24)</f>
        <v>149.04047328494519</v>
      </c>
      <c r="D45" s="159">
        <f>IF($R24&gt;$J24,C$25*$J24+C$26*($R24-$J24),$R24*C$25)+('Incremental Rev Req'!$F$87*$R24)</f>
        <v>113.32519532858434</v>
      </c>
      <c r="E45" s="159">
        <f>$F$15+IF($Q24&gt;$I24,D$22*$I24+D$23*($Q24-$I24),$Q24*D$22)+('Incremental Rev Req'!$F$87*$Q24)</f>
        <v>154.93228370338494</v>
      </c>
      <c r="F45" s="159">
        <f>$F$15+IF($R24&gt;$J24,D$25*$J24+D$26*($R24-$J24),$R24*D$25)+('Incremental Rev Req'!$F$87*$R24)</f>
        <v>123.50912538947642</v>
      </c>
      <c r="G45" s="159">
        <f>$F$15+IF($Q24&gt;$I24,E$22*$I24+E$23*($Q24-$I24),$Q24*E$22)+('Incremental Rev Req'!$F$87*$Q24)</f>
        <v>169.30201694006811</v>
      </c>
      <c r="H45" s="159">
        <f>$F$15+IF($R24&gt;$J24,E$25*$J24+E$26*($R24-$J24),$R24*E$25)+('Incremental Rev Req'!$F$87*$R24)</f>
        <v>134.43537105935826</v>
      </c>
      <c r="I45" s="159">
        <f>$F$15+IF($Q24&gt;$I24,F$22*$I24+F$23*($Q24-$I24),$Q24*F$22)+('Incremental Rev Req'!$F$87*$Q24)</f>
        <v>174.95661445116355</v>
      </c>
      <c r="J45" s="159">
        <f>$F$15+IF($R24&gt;$J24,F$25*$J24+F$26*($R24-$J24),$R24*F$25)+('Incremental Rev Req'!$F$87*$R24)</f>
        <v>138.73493045638378</v>
      </c>
      <c r="M45" s="141" t="s">
        <v>226</v>
      </c>
      <c r="N45" s="159">
        <f>IF($Q33&gt;$L24,C$22*$L24+C$23*($Q33-$L24),$Q33*C$22)+('Incremental Rev Req'!$F$87*$Q33)</f>
        <v>151.2320816146802</v>
      </c>
      <c r="O45" s="159">
        <f>IF($R33&gt;$M24,C$25*$M24+C$26*($R33-$M24),$R33*C$25)+('Incremental Rev Req'!$F$87*$R33)</f>
        <v>142.54165416699146</v>
      </c>
      <c r="P45" s="159">
        <f>$F$15+IF($Q33&gt;$L24,D$22*$L24+D$23*($Q33-$L24),$Q33*D$22)+('Incremental Rev Req'!$F$87*$Q33)</f>
        <v>156.86051328601596</v>
      </c>
      <c r="Q45" s="159">
        <f>$F$15+IF($R33&gt;$M24,D$25*$M24+D$26*($R33-$M24),$R33*D$25)+('Incremental Rev Req'!$F$87*$R33)</f>
        <v>149.21446674431115</v>
      </c>
      <c r="R45" s="159">
        <f>$F$15+IF($Q33&gt;$L24,E$22*$L24+E$23*($Q33-$L24),$Q33*E$22)+('Incremental Rev Req'!$F$87*$Q33)</f>
        <v>171.44155038106365</v>
      </c>
      <c r="S45" s="159">
        <f>$F$15+IF($R33&gt;$M24,E$25*$M24+E$26*($R33-$M24),$R33*E$25)+('Incremental Rev Req'!$F$87*$R33)</f>
        <v>162.95761650994004</v>
      </c>
      <c r="T45" s="159">
        <f>$F$15+IF($Q33&gt;$L24,F$22*$L24+F$23*($Q33-$L24),$Q33*F$22)+('Incremental Rev Req'!$F$87*$Q33)</f>
        <v>177.17929754093217</v>
      </c>
      <c r="U45" s="159">
        <f>$F$15+IF($R33&gt;$M24,F$25*$M24+F$26*($R33-$M24),$R33*F$25)+('Incremental Rev Req'!$F$87*$R33)</f>
        <v>168.36564873846834</v>
      </c>
    </row>
    <row r="46" spans="1:31">
      <c r="B46" s="144" t="s">
        <v>228</v>
      </c>
      <c r="C46" s="159">
        <f>IF($Q25&gt;$I25,C$22*$I25+C$23*($Q25-$I25),$Q25*C$22)+('Incremental Rev Req'!$F$87*$Q25)</f>
        <v>184.87550387979113</v>
      </c>
      <c r="D46" s="159">
        <f>IF($R25&gt;$J25,C$25*$J25+C$26*($R25-$J25),$R25*C$25)+('Incremental Rev Req'!$F$87*$R25)</f>
        <v>139.24519900340138</v>
      </c>
      <c r="E46" s="159">
        <f>$F$15+IF($Q25&gt;$I25,D$22*$I25+D$23*($Q25-$I25),$Q25*D$22)+('Incremental Rev Req'!$F$87*$Q25)</f>
        <v>186.46024860684133</v>
      </c>
      <c r="F46" s="159">
        <f>$F$15+IF($R25&gt;$J25,D$25*$J25+D$26*($R25-$J25),$R25*D$25)+('Incremental Rev Req'!$F$87*$R25)</f>
        <v>146.31416641326629</v>
      </c>
      <c r="G46" s="159">
        <f>$F$15+IF($Q25&gt;$I25,E$22*$I25+E$23*($Q25-$I25),$Q25*E$22)+('Incremental Rev Req'!$F$87*$Q25)</f>
        <v>204.28546034673386</v>
      </c>
      <c r="H46" s="159">
        <f>$F$15+IF($R25&gt;$J25,E$25*$J25+E$26*($R25-$J25),$R25*E$25)+('Incremental Rev Req'!$F$87*$R25)</f>
        <v>159.73948854266035</v>
      </c>
      <c r="I46" s="159">
        <f>$F$15+IF($Q25&gt;$I25,F$22*$I25+F$23*($Q25-$I25),$Q25*F$22)+('Incremental Rev Req'!$F$87*$Q25)</f>
        <v>211.29981449506533</v>
      </c>
      <c r="J46" s="159">
        <f>$F$15+IF($R25&gt;$J25,F$25*$J25+F$26*($R25-$J25),$R25*F$25)+('Incremental Rev Req'!$F$87*$R25)</f>
        <v>165.02245321904905</v>
      </c>
      <c r="M46" s="144" t="s">
        <v>228</v>
      </c>
      <c r="N46" s="159">
        <f>IF($Q34&gt;$L25,C$22*$L25+C$23*($Q34-$L25),$Q34*C$22)+('Incremental Rev Req'!$F$87*$Q34)</f>
        <v>192.610948721276</v>
      </c>
      <c r="O46" s="159">
        <f>IF($R34&gt;$M25,C$25*$M25+C$26*($R34-$M25),$R34*C$25)+('Incremental Rev Req'!$F$87*$R34)</f>
        <v>207.19184932382052</v>
      </c>
      <c r="P46" s="159">
        <f>$F$15+IF($Q34&gt;$L25,D$22*$L25+D$23*($Q34-$L25),$Q34*D$22)+('Incremental Rev Req'!$F$87*$Q34)</f>
        <v>193.26443254126445</v>
      </c>
      <c r="Q46" s="159">
        <f>$F$15+IF($R34&gt;$M25,D$25*$M25+D$26*($R34-$M25),$R34*D$25)+('Incremental Rev Req'!$F$87*$R34)</f>
        <v>206.09503341796781</v>
      </c>
      <c r="R46" s="159">
        <f>$F$15+IF($Q34&gt;$L25,E$22*$L25+E$23*($Q34-$L25),$Q34*E$22)+('Incremental Rev Req'!$F$87*$Q34)</f>
        <v>211.83677754445134</v>
      </c>
      <c r="S46" s="159">
        <f>$F$15+IF($R34&gt;$M25,E$25*$M25+E$26*($R34-$M25),$R34*E$25)+('Incremental Rev Req'!$F$87*$R34)</f>
        <v>226.07161125858471</v>
      </c>
      <c r="T46" s="159">
        <f>$F$15+IF($Q34&gt;$L25,F$22*$L25+F$23*($Q34-$L25),$Q34*F$22)+('Incremental Rev Req'!$F$87*$Q34)</f>
        <v>219.14513422028247</v>
      </c>
      <c r="U46" s="159">
        <f>$F$15+IF($R34&gt;$M25,F$25*$M25+F$26*($R34-$M25),$R34*F$25)+('Incremental Rev Req'!$F$87*$R34)</f>
        <v>233.93254405929895</v>
      </c>
    </row>
    <row r="47" spans="1:31" s="10" customFormat="1">
      <c r="B47" s="6" t="s">
        <v>113</v>
      </c>
      <c r="C47" s="157">
        <f>SUMPRODUCT(C43:C46,$U$22:$U$25)</f>
        <v>161.84172827744715</v>
      </c>
      <c r="D47" s="157">
        <f t="shared" ref="D47:J47" si="8">SUMPRODUCT(D43:D46,$U$22:$U$25)</f>
        <v>132.70704160376479</v>
      </c>
      <c r="E47" s="157">
        <f t="shared" si="8"/>
        <v>166.19491539420909</v>
      </c>
      <c r="F47" s="157">
        <f t="shared" si="8"/>
        <v>140.56173869028837</v>
      </c>
      <c r="G47" s="157">
        <f t="shared" si="8"/>
        <v>181.79905741971419</v>
      </c>
      <c r="H47" s="157">
        <f t="shared" si="8"/>
        <v>153.35668454925417</v>
      </c>
      <c r="I47" s="157">
        <f t="shared" si="8"/>
        <v>187.93940402231874</v>
      </c>
      <c r="J47" s="157">
        <f t="shared" si="8"/>
        <v>158.39159144815278</v>
      </c>
      <c r="M47" s="6" t="s">
        <v>113</v>
      </c>
      <c r="N47" s="157">
        <f t="shared" ref="N47:U47" si="9">SUMPRODUCT(N43:N46,$U$31:$U$34)</f>
        <v>155.97853910012617</v>
      </c>
      <c r="O47" s="157">
        <f t="shared" si="9"/>
        <v>150.73757990613655</v>
      </c>
      <c r="P47" s="157">
        <f t="shared" si="9"/>
        <v>161.03486055617077</v>
      </c>
      <c r="Q47" s="157">
        <f t="shared" si="9"/>
        <v>156.42535169239648</v>
      </c>
      <c r="R47" s="157">
        <f t="shared" si="9"/>
        <v>176.07489101051578</v>
      </c>
      <c r="S47" s="157">
        <f t="shared" si="9"/>
        <v>170.95878131957841</v>
      </c>
      <c r="T47" s="157">
        <f t="shared" si="9"/>
        <v>181.99325549043766</v>
      </c>
      <c r="U47" s="157">
        <f t="shared" si="9"/>
        <v>176.67779458474831</v>
      </c>
      <c r="X47" s="6"/>
      <c r="Y47" s="6"/>
      <c r="Z47" s="6"/>
      <c r="AA47" s="6"/>
      <c r="AB47" s="6"/>
      <c r="AC47" s="6"/>
      <c r="AD47" s="6"/>
      <c r="AE47" s="6"/>
    </row>
    <row r="48" spans="1:31">
      <c r="B48" s="7"/>
      <c r="C48" s="143"/>
      <c r="D48" s="143"/>
      <c r="E48" s="158"/>
      <c r="F48" s="146"/>
      <c r="G48" s="147"/>
      <c r="H48" s="147"/>
      <c r="I48" s="147"/>
      <c r="J48" s="147"/>
      <c r="M48" s="7"/>
      <c r="N48" s="143"/>
      <c r="O48" s="143"/>
      <c r="P48" s="158"/>
      <c r="Q48" s="146"/>
      <c r="R48" s="147"/>
      <c r="S48" s="147"/>
      <c r="T48" s="147"/>
      <c r="U48" s="147"/>
      <c r="X48" s="10"/>
      <c r="Y48" s="10"/>
      <c r="Z48" s="10"/>
      <c r="AA48" s="10"/>
    </row>
    <row r="49" spans="2:31">
      <c r="B49" s="7"/>
      <c r="C49" s="143"/>
      <c r="D49" s="143"/>
      <c r="E49" s="158"/>
      <c r="F49" s="143"/>
      <c r="G49" s="147"/>
      <c r="H49" s="147"/>
      <c r="I49" s="147"/>
      <c r="J49" s="147"/>
      <c r="M49" s="7"/>
      <c r="N49" s="143"/>
      <c r="O49" s="143"/>
      <c r="P49" s="158"/>
      <c r="Q49" s="143"/>
      <c r="R49" s="147"/>
      <c r="S49" s="147"/>
      <c r="T49" s="147"/>
      <c r="U49" s="147"/>
    </row>
    <row r="50" spans="2:31">
      <c r="B50" s="7"/>
      <c r="C50" s="521" t="s">
        <v>474</v>
      </c>
      <c r="D50" s="521"/>
      <c r="E50" s="521"/>
      <c r="F50" s="521"/>
      <c r="G50" s="521"/>
      <c r="H50" s="521"/>
      <c r="I50" s="521"/>
      <c r="J50" s="521"/>
      <c r="M50" s="7"/>
      <c r="N50" s="521" t="s">
        <v>475</v>
      </c>
      <c r="O50" s="521"/>
      <c r="P50" s="521"/>
      <c r="Q50" s="521"/>
      <c r="R50" s="521"/>
      <c r="S50" s="521"/>
      <c r="T50" s="521"/>
      <c r="U50" s="521"/>
    </row>
    <row r="51" spans="2:31">
      <c r="B51" s="7"/>
      <c r="C51" s="585" t="str">
        <f>C30</f>
        <v>6/1/2025</v>
      </c>
      <c r="D51" s="585"/>
      <c r="E51" s="586" t="str">
        <f>D30</f>
        <v>10/1/25</v>
      </c>
      <c r="F51" s="585"/>
      <c r="G51" s="585" t="str">
        <f>E30</f>
        <v>Authorized</v>
      </c>
      <c r="H51" s="585"/>
      <c r="I51" s="586" t="str">
        <f>F30</f>
        <v>w/Pending</v>
      </c>
      <c r="J51" s="585"/>
      <c r="M51" s="7"/>
      <c r="N51" s="585" t="str">
        <f>N41</f>
        <v>6/1/2025</v>
      </c>
      <c r="O51" s="585"/>
      <c r="P51" s="586" t="str">
        <f>P41</f>
        <v>10/1/25</v>
      </c>
      <c r="Q51" s="585"/>
      <c r="R51" s="585" t="str">
        <f>R41</f>
        <v>Authorized</v>
      </c>
      <c r="S51" s="585"/>
      <c r="T51" s="586" t="str">
        <f>T41</f>
        <v>w/Pending</v>
      </c>
      <c r="U51" s="585"/>
      <c r="AD51" s="10"/>
      <c r="AE51" s="10"/>
    </row>
    <row r="52" spans="2:31">
      <c r="B52" s="7"/>
      <c r="C52" s="143" t="s">
        <v>196</v>
      </c>
      <c r="D52" s="143" t="s">
        <v>197</v>
      </c>
      <c r="E52" s="143" t="s">
        <v>196</v>
      </c>
      <c r="F52" s="143" t="s">
        <v>197</v>
      </c>
      <c r="G52" s="143" t="s">
        <v>196</v>
      </c>
      <c r="H52" s="143" t="s">
        <v>197</v>
      </c>
      <c r="I52" s="143" t="s">
        <v>196</v>
      </c>
      <c r="J52" s="143" t="s">
        <v>197</v>
      </c>
      <c r="M52" s="7"/>
      <c r="N52" s="143" t="s">
        <v>196</v>
      </c>
      <c r="O52" s="143" t="s">
        <v>197</v>
      </c>
      <c r="P52" s="143" t="s">
        <v>196</v>
      </c>
      <c r="Q52" s="143" t="s">
        <v>197</v>
      </c>
      <c r="R52" s="143" t="s">
        <v>196</v>
      </c>
      <c r="S52" s="143" t="s">
        <v>197</v>
      </c>
      <c r="T52" s="143" t="s">
        <v>196</v>
      </c>
      <c r="U52" s="143" t="s">
        <v>197</v>
      </c>
      <c r="AB52" s="10"/>
      <c r="AC52" s="10"/>
    </row>
    <row r="53" spans="2:31">
      <c r="B53" s="138" t="s">
        <v>227</v>
      </c>
      <c r="C53" s="159">
        <f>IF($S22&gt;$I22,C$31*$I22+C$32*($S22-$I22),$S22*C$31)+('Incremental Rev Req'!$F$87*$S22)</f>
        <v>88.90344679188</v>
      </c>
      <c r="D53" s="159">
        <f>IF($T22&gt;$J22,C$34*$J22+C$35*($T22-$J22),$T22*C$34)+('Incremental Rev Req'!$F$87*$T22)</f>
        <v>78.669621078329982</v>
      </c>
      <c r="E53" s="159">
        <f>$Q$15+IF($S22&gt;$I22,D$31*$I22+D$32*($S22-$I22),$S22*D$31)+('Incremental Rev Req'!$F$87*$S22)</f>
        <v>86.345264459719999</v>
      </c>
      <c r="F53" s="159">
        <f>$Q$15+IF($T22&gt;$J22,D$34*$J22+D$35*($T22-$J22),$T22*D$34)+('Incremental Rev Req'!$F$87*$T22)</f>
        <v>77.086639899769992</v>
      </c>
      <c r="G53" s="159">
        <f>$Q$15+IF($S22&gt;$I22,E$31*$I22+E$32*($S22-$I22),$S22*E$31)+('Incremental Rev Req'!$F$87*$S22)</f>
        <v>95.14873255268445</v>
      </c>
      <c r="H53" s="159">
        <f>$Q$15+IF($T22&gt;$J22,E$34*$J22+E$35*($T22-$J22),$T22*E$34)+('Incremental Rev Req'!$F$87*$T22)</f>
        <v>84.876725931754279</v>
      </c>
      <c r="I53" s="159">
        <f>$Q$15+IF($S22&gt;$I22,F$31*$I22+F$32*($S22-$I22),$S22*F$31)+('Incremental Rev Req'!$F$87*$S22)</f>
        <v>98.612963095281145</v>
      </c>
      <c r="J53" s="159">
        <f>$Q$15+IF($T22&gt;$J22,F$34*$J22+F$35*($T22-$J22),$T22*F$34)+('Incremental Rev Req'!$F$87*$T22)</f>
        <v>87.94218305347917</v>
      </c>
      <c r="M53" s="138" t="s">
        <v>227</v>
      </c>
      <c r="N53" s="159">
        <f>IF($S31&gt;$L22,C$31*$L22+C$32*($S31-$L22),$S31*C$31)+('Incremental Rev Req'!$F$87*$S31)</f>
        <v>84.468624920400003</v>
      </c>
      <c r="O53" s="159">
        <f>IF($T31&gt;$M22,C$34*$M22+C$35*($T31-$M22),$T31*C$34)+('Incremental Rev Req'!$F$87*$T31)</f>
        <v>75.129805142069998</v>
      </c>
      <c r="P53" s="159">
        <f>$Q$15+IF($S31&gt;$L22,D$31*$L22+D$32*($S31-$L22),$S31*D$31)+('Incremental Rev Req'!$F$87*$S31)</f>
        <v>82.215085948000009</v>
      </c>
      <c r="Q53" s="159">
        <f>$Q$15+IF($T31&gt;$M22,D$34*$M22+D$35*($T31-$M22),$T31*D$34)+('Incremental Rev Req'!$F$87*$T31)</f>
        <v>73.884139907830004</v>
      </c>
      <c r="R53" s="159">
        <f>$Q$15+IF($S31&gt;$L22,E$31*$L22+E$32*($S31-$L22),$S31*E$31)+('Incremental Rev Req'!$F$87*$S31)</f>
        <v>90.568008842163692</v>
      </c>
      <c r="S53" s="159">
        <f>$Q$15+IF($T31&gt;$M22,E$34*$M22+E$35*($T31-$M22),$T31*E$34)+('Incremental Rev Req'!$F$87*$T31)</f>
        <v>81.323703459816599</v>
      </c>
      <c r="T53" s="159">
        <f>$Q$15+IF($S31&gt;$L22,F$31*$L22+F$32*($S31-$L22),$S31*F$31)+('Incremental Rev Req'!$F$87*$S31)</f>
        <v>93.854946479052757</v>
      </c>
      <c r="U53" s="159">
        <f>$Q$15+IF($T31&gt;$M22,F$34*$M22+F$35*($T31-$M22),$T31*F$34)+('Incremental Rev Req'!$F$87*$T31)</f>
        <v>84.251227363830949</v>
      </c>
    </row>
    <row r="54" spans="2:31">
      <c r="B54" s="141" t="s">
        <v>229</v>
      </c>
      <c r="C54" s="159">
        <f>IF($S23&gt;$I23,C$31*$I23+C$32*($S23-$I23),$S23*C$31)+('Incremental Rev Req'!$F$87*$S23)</f>
        <v>205.66086310470001</v>
      </c>
      <c r="D54" s="159">
        <f>IF($T23&gt;$J23,C$34*$J23+C$35*($T23-$J23),$T23*C$34)+('Incremental Rev Req'!$F$87*$T23)</f>
        <v>84.837662922269999</v>
      </c>
      <c r="E54" s="159">
        <f>$Q$15+IF($S23&gt;$I23,D$31*$I23+D$32*($S23-$I23),$S23*D$31)+('Incremental Rev Req'!$F$87*$S23)</f>
        <v>191.62979468900002</v>
      </c>
      <c r="F54" s="159">
        <f>$Q$15+IF($T23&gt;$J23,D$34*$J23+D$35*($T23-$J23),$T23*D$34)+('Incremental Rev Req'!$F$87*$T23)</f>
        <v>82.666917041630001</v>
      </c>
      <c r="G54" s="159">
        <f>$Q$15+IF($S23&gt;$I23,E$31*$I23+E$32*($S23-$I23),$S23*E$31)+('Incremental Rev Req'!$F$87*$S23)</f>
        <v>211.96139825073283</v>
      </c>
      <c r="H54" s="159">
        <f>$Q$15+IF($T23&gt;$J23,E$34*$J23+E$35*($T23-$J23),$T23*E$34)+('Incremental Rev Req'!$F$87*$T23)</f>
        <v>91.067779837942794</v>
      </c>
      <c r="I54" s="159">
        <f>$Q$15+IF($S23&gt;$I23,F$31*$I23+F$32*($S23-$I23),$S23*F$31)+('Incremental Rev Req'!$F$87*$S23)</f>
        <v>219.96203632822085</v>
      </c>
      <c r="J54" s="159">
        <f>$Q$15+IF($T23&gt;$J23,F$34*$J23+F$35*($T23-$J23),$T23*F$34)+('Incremental Rev Req'!$F$87*$T23)</f>
        <v>94.373582184907519</v>
      </c>
      <c r="M54" s="141" t="s">
        <v>229</v>
      </c>
      <c r="N54" s="159">
        <f>IF($S32&gt;$L23,C$31*$L23+C$32*($S32-$L23),$S32*C$31)+('Incremental Rev Req'!$F$87*$S32)</f>
        <v>225.04225240890003</v>
      </c>
      <c r="O54" s="159">
        <f>IF($T32&gt;$M23,C$34*$M23+C$35*($T32-$M23),$T32*C$34)+('Incremental Rev Req'!$F$87*$T32)</f>
        <v>119.90863588323</v>
      </c>
      <c r="P54" s="159">
        <f>$Q$15+IF($S32&gt;$L23,D$31*$L23+D$32*($S32-$L23),$S32*D$31)+('Incremental Rev Req'!$F$87*$S32)</f>
        <v>209.15006894300004</v>
      </c>
      <c r="Q54" s="159">
        <f>$Q$15+IF($T32&gt;$M23,D$34*$M23+D$35*($T32-$M23),$T32*D$34)+('Incremental Rev Req'!$F$87*$T32)</f>
        <v>114.39590878787</v>
      </c>
      <c r="R54" s="159">
        <f>$Q$15+IF($S32&gt;$L23,E$31*$L23+E$32*($S32-$L23),$S32*E$31)+('Incremental Rev Req'!$F$87*$S32)</f>
        <v>231.39949757592416</v>
      </c>
      <c r="S54" s="159">
        <f>$Q$15+IF($T32&gt;$M23,E$34*$M23+E$35*($T32-$M23),$T32*E$34)+('Incremental Rev Req'!$F$87*$T32)</f>
        <v>126.26959747105526</v>
      </c>
      <c r="T54" s="159">
        <f>$Q$15+IF($S32&gt;$L23,F$31*$L23+F$32*($S32-$L23),$S32*F$31)+('Incremental Rev Req'!$F$87*$S32)</f>
        <v>240.1548141638379</v>
      </c>
      <c r="U54" s="159">
        <f>$Q$15+IF($T32&gt;$M23,F$34*$M23+F$35*($T32-$M23),$T32*F$34)+('Incremental Rev Req'!$F$87*$T32)</f>
        <v>130.94198278048211</v>
      </c>
    </row>
    <row r="55" spans="2:31">
      <c r="B55" s="141" t="s">
        <v>226</v>
      </c>
      <c r="C55" s="159">
        <f>IF($S24&gt;$I24,C$31*$I24+C$32*($S24-$I24),$S24*C$31)+('Incremental Rev Req'!$F$87*$S24)</f>
        <v>117.59209840068</v>
      </c>
      <c r="D55" s="159">
        <f>IF($T24&gt;$J24,C$34*$J24+C$35*($T24-$J24),$T24*C$34)+('Incremental Rev Req'!$F$87*$T24)</f>
        <v>89.27699633508</v>
      </c>
      <c r="E55" s="159">
        <f>$Q$15+IF($S24&gt;$I24,D$31*$I24+D$32*($S24-$I24),$S24*D$31)+('Incremental Rev Req'!$F$87*$S24)</f>
        <v>112.30011866692</v>
      </c>
      <c r="F55" s="159">
        <f>$Q$15+IF($T24&gt;$J24,D$34*$J24+D$35*($T24-$J24),$T24*D$34)+('Incremental Rev Req'!$F$87*$T24)</f>
        <v>86.683217740520007</v>
      </c>
      <c r="G55" s="159">
        <f>$Q$15+IF($S24&gt;$I24,E$31*$I24+E$32*($S24-$I24),$S24*E$31)+('Incremental Rev Req'!$F$87*$S24)</f>
        <v>123.94441732587453</v>
      </c>
      <c r="H55" s="159">
        <f>$Q$15+IF($T24&gt;$J24,E$34*$J24+E$35*($T24-$J24),$T24*E$34)+('Incremental Rev Req'!$F$87*$T24)</f>
        <v>95.523675754610935</v>
      </c>
      <c r="I55" s="159">
        <f>$Q$15+IF($S24&gt;$I24,F$31*$I24+F$32*($S24-$I24),$S24*F$31)+('Incremental Rev Req'!$F$87*$S24)</f>
        <v>128.5265359449794</v>
      </c>
      <c r="J55" s="159">
        <f>$Q$15+IF($T24&gt;$J24,F$34*$J24+F$35*($T24-$J24),$T24*F$34)+('Incremental Rev Req'!$F$87*$T24)</f>
        <v>99.002462107847407</v>
      </c>
      <c r="M55" s="141" t="s">
        <v>226</v>
      </c>
      <c r="N55" s="159">
        <f>IF($S33&gt;$L24,C$31*$L24+C$32*($S33-$L24),$S33*C$31)+('Incremental Rev Req'!$F$87*$S33)</f>
        <v>109.60366230987</v>
      </c>
      <c r="O55" s="159">
        <f>IF($T33&gt;$M24,C$34*$M24+C$35*($T33-$M24),$T33*C$34)+('Incremental Rev Req'!$F$87*$T33)</f>
        <v>92.512610330010006</v>
      </c>
      <c r="P55" s="159">
        <f>$Q$15+IF($S33&gt;$L24,D$31*$L24+D$32*($S33-$L24),$S33*D$31)+('Incremental Rev Req'!$F$87*$S33)</f>
        <v>105.07291618603001</v>
      </c>
      <c r="Q55" s="159">
        <f>$Q$15+IF($T33&gt;$M24,D$34*$M24+D$35*($T33-$M24),$T33*D$34)+('Incremental Rev Req'!$F$87*$T33)</f>
        <v>89.610503785690014</v>
      </c>
      <c r="R55" s="159">
        <f>$Q$15+IF($S33&gt;$L24,E$31*$L24+E$32*($S33-$L24),$S33*E$31)+('Incremental Rev Req'!$F$87*$S33)</f>
        <v>115.92617754805315</v>
      </c>
      <c r="S55" s="159">
        <f>$Q$15+IF($T33&gt;$M24,E$34*$M24+E$35*($T33-$M24),$T33*E$34)+('Incremental Rev Req'!$F$87*$T33)</f>
        <v>98.771361352254942</v>
      </c>
      <c r="T55" s="159">
        <f>$Q$15+IF($S33&gt;$L24,F$31*$L24+F$32*($S33-$L24),$S33*F$31)+('Incremental Rev Req'!$F$87*$S33)</f>
        <v>120.1970170740296</v>
      </c>
      <c r="U55" s="159">
        <f>$Q$15+IF($T33&gt;$M24,F$34*$M24+F$35*($T33-$M24),$T33*F$34)+('Incremental Rev Req'!$F$87*$T33)</f>
        <v>102.37622732590849</v>
      </c>
    </row>
    <row r="56" spans="2:31">
      <c r="B56" s="144" t="s">
        <v>228</v>
      </c>
      <c r="C56" s="159">
        <f>IF($S25&gt;$I25,C$31*$I25+C$32*($S25-$I25),$S25*C$31)+('Incremental Rev Req'!$F$87*$S25)</f>
        <v>191.00115018420001</v>
      </c>
      <c r="D56" s="159">
        <f>IF($T25&gt;$J25,C$34*$J25+C$35*($T25-$J25),$T25*C$34)+('Incremental Rev Req'!$F$87*$T25)</f>
        <v>167.0415704202</v>
      </c>
      <c r="E56" s="159">
        <f>$Q$15+IF($S25&gt;$I25,D$31*$I25+D$32*($S25-$I25),$S25*D$31)+('Incremental Rev Req'!$F$87*$S25)</f>
        <v>178.26980985400002</v>
      </c>
      <c r="F56" s="159">
        <f>$Q$15+IF($T25&gt;$J25,D$34*$J25+D$35*($T25-$J25),$T25*D$34)+('Incremental Rev Req'!$F$87*$T25)</f>
        <v>156.675863174</v>
      </c>
      <c r="G56" s="159">
        <f>$Q$15+IF($S25&gt;$I25,E$31*$I25+E$32*($S25-$I25),$S25*E$31)+('Incremental Rev Req'!$F$87*$S25)</f>
        <v>197.14037421412448</v>
      </c>
      <c r="H56" s="159">
        <f>$Q$15+IF($T25&gt;$J25,E$34*$J25+E$35*($T25-$J25),$T25*E$34)+('Incremental Rev Req'!$F$87*$T25)</f>
        <v>173.18185157379546</v>
      </c>
      <c r="I56" s="159">
        <f>$Q$15+IF($S25&gt;$I25,F$31*$I25+F$32*($S25-$I25),$S25*F$31)+('Incremental Rev Req'!$F$87*$S25)</f>
        <v>204.56608243752609</v>
      </c>
      <c r="J56" s="159">
        <f>$Q$15+IF($T25&gt;$J25,F$34*$J25+F$35*($T25-$J25),$T25*F$34)+('Incremental Rev Req'!$F$87*$T25)</f>
        <v>179.67708147029674</v>
      </c>
      <c r="M56" s="144" t="s">
        <v>228</v>
      </c>
      <c r="N56" s="159">
        <f>IF($S34&gt;$L25,C$31*$L25+C$32*($S34-$L25),$S34*C$31)+('Incremental Rev Req'!$F$87*$S34)</f>
        <v>199.82157845429998</v>
      </c>
      <c r="O56" s="159">
        <f>IF($T34&gt;$M25,C$34*$M25+C$35*($T34-$M25),$T34*C$34)+('Incremental Rev Req'!$F$87*$T34)</f>
        <v>214.99970246730001</v>
      </c>
      <c r="P56" s="159">
        <f>$Q$15+IF($S34&gt;$L25,D$31*$L25+D$32*($S34-$L25),$S34*D$31)+('Incremental Rev Req'!$F$87*$S34)</f>
        <v>186.11076364099998</v>
      </c>
      <c r="Q56" s="159">
        <f>$Q$15+IF($T34&gt;$M25,D$34*$M25+D$35*($T34-$M25),$T34*D$34)+('Incremental Rev Req'!$F$87*$T34)</f>
        <v>199.95113895100002</v>
      </c>
      <c r="R56" s="159">
        <f>$Q$15+IF($S34&gt;$L25,E$31*$L25+E$32*($S34-$L25),$S34*E$31)+('Incremental Rev Req'!$F$87*$S34)</f>
        <v>205.84132590666965</v>
      </c>
      <c r="S56" s="159">
        <f>$Q$15+IF($T34&gt;$M25,E$34*$M25+E$35*($T34-$M25),$T34*E$34)+('Incremental Rev Req'!$F$87*$T34)</f>
        <v>221.19517440044649</v>
      </c>
      <c r="T56" s="159">
        <f>$Q$15+IF($S34&gt;$L25,F$31*$L25+F$32*($S34-$L25),$S34*F$31)+('Incremental Rev Req'!$F$87*$S34)</f>
        <v>213.60544973849946</v>
      </c>
      <c r="U56" s="159">
        <f>$Q$15+IF($T34&gt;$M25,F$34*$M25+F$35*($T34-$M25),$T34*F$34)+('Incremental Rev Req'!$F$87*$T34)</f>
        <v>229.55486125054077</v>
      </c>
    </row>
    <row r="57" spans="2:31">
      <c r="B57" s="6" t="s">
        <v>113</v>
      </c>
      <c r="C57" s="157">
        <f>SUMPRODUCT(C53:C56,$V$22:$V$25)</f>
        <v>139.63772543849851</v>
      </c>
      <c r="D57" s="157">
        <f t="shared" ref="D57:J57" si="10">SUMPRODUCT(D53:D56,$V$22:$V$25)</f>
        <v>121.78779430277953</v>
      </c>
      <c r="E57" s="157">
        <f t="shared" si="10"/>
        <v>132.02581488098991</v>
      </c>
      <c r="F57" s="157">
        <f t="shared" si="10"/>
        <v>115.91984533485848</v>
      </c>
      <c r="G57" s="157">
        <f t="shared" si="10"/>
        <v>145.83195892511813</v>
      </c>
      <c r="H57" s="157">
        <f t="shared" si="10"/>
        <v>127.96259438868198</v>
      </c>
      <c r="I57" s="157">
        <f t="shared" si="10"/>
        <v>151.26477987341934</v>
      </c>
      <c r="J57" s="157">
        <f t="shared" si="10"/>
        <v>132.70150621848956</v>
      </c>
      <c r="M57" s="6" t="s">
        <v>113</v>
      </c>
      <c r="N57" s="157">
        <f t="shared" ref="N57:U57" si="11">SUMPRODUCT(N53:N56,$V$31:$V$34)</f>
        <v>148.51610920456355</v>
      </c>
      <c r="O57" s="157">
        <f t="shared" si="11"/>
        <v>150.96132398387888</v>
      </c>
      <c r="P57" s="157">
        <f t="shared" si="11"/>
        <v>139.90653300377676</v>
      </c>
      <c r="Q57" s="157">
        <f t="shared" si="11"/>
        <v>142.23468220726238</v>
      </c>
      <c r="R57" s="157">
        <f t="shared" si="11"/>
        <v>154.57718989671756</v>
      </c>
      <c r="S57" s="157">
        <f t="shared" si="11"/>
        <v>157.15867308443995</v>
      </c>
      <c r="T57" s="157">
        <f t="shared" si="11"/>
        <v>160.35020311739345</v>
      </c>
      <c r="U57" s="157">
        <f t="shared" si="11"/>
        <v>163.03137512279577</v>
      </c>
    </row>
    <row r="58" spans="2:31">
      <c r="B58" s="7"/>
      <c r="C58" s="143"/>
      <c r="D58" s="143"/>
      <c r="E58" s="158"/>
      <c r="F58" s="143"/>
      <c r="G58" s="147"/>
      <c r="H58" s="147"/>
      <c r="I58" s="147"/>
      <c r="J58" s="147"/>
      <c r="M58" s="7"/>
      <c r="N58" s="143"/>
      <c r="O58" s="143"/>
      <c r="P58" s="158"/>
      <c r="Q58" s="143"/>
      <c r="R58" s="147"/>
      <c r="S58" s="147"/>
      <c r="T58" s="147"/>
      <c r="U58" s="147"/>
    </row>
    <row r="59" spans="2:31">
      <c r="B59" s="7"/>
      <c r="C59" s="8"/>
      <c r="D59" s="8"/>
      <c r="E59" s="9"/>
      <c r="G59" s="147"/>
      <c r="H59" s="147"/>
      <c r="I59" s="147"/>
      <c r="M59" s="7"/>
      <c r="N59" s="8"/>
      <c r="O59" s="8"/>
      <c r="P59" s="9"/>
      <c r="R59" s="147"/>
      <c r="S59" s="147"/>
      <c r="T59" s="147"/>
    </row>
    <row r="60" spans="2:31">
      <c r="B60" s="7"/>
      <c r="C60" s="587" t="s">
        <v>289</v>
      </c>
      <c r="D60" s="587"/>
      <c r="E60" s="587"/>
      <c r="F60" s="587"/>
      <c r="G60" s="587"/>
      <c r="H60" s="587"/>
      <c r="I60" s="587"/>
      <c r="J60" s="587"/>
      <c r="M60" s="7"/>
      <c r="N60" s="587" t="s">
        <v>278</v>
      </c>
      <c r="O60" s="587"/>
      <c r="P60" s="587"/>
      <c r="Q60" s="587"/>
      <c r="R60" s="587"/>
      <c r="S60" s="587"/>
      <c r="T60" s="587"/>
      <c r="U60" s="587"/>
    </row>
    <row r="61" spans="2:31">
      <c r="B61" s="7"/>
      <c r="C61" s="581" t="str">
        <f>C51</f>
        <v>6/1/2025</v>
      </c>
      <c r="D61" s="581"/>
      <c r="E61" s="580" t="str">
        <f>E51</f>
        <v>10/1/25</v>
      </c>
      <c r="F61" s="581"/>
      <c r="G61" s="581" t="str">
        <f>G51</f>
        <v>Authorized</v>
      </c>
      <c r="H61" s="581"/>
      <c r="I61" s="580" t="str">
        <f>I51</f>
        <v>w/Pending</v>
      </c>
      <c r="J61" s="581"/>
      <c r="M61" s="7"/>
      <c r="N61" s="581" t="str">
        <f>N51</f>
        <v>6/1/2025</v>
      </c>
      <c r="O61" s="581"/>
      <c r="P61" s="580" t="str">
        <f>P51</f>
        <v>10/1/25</v>
      </c>
      <c r="Q61" s="581"/>
      <c r="R61" s="581" t="str">
        <f>R51</f>
        <v>Authorized</v>
      </c>
      <c r="S61" s="581"/>
      <c r="T61" s="580" t="str">
        <f>T51</f>
        <v>w/Pending</v>
      </c>
      <c r="U61" s="581"/>
    </row>
    <row r="62" spans="2:31">
      <c r="B62" s="7"/>
      <c r="C62" s="8" t="s">
        <v>196</v>
      </c>
      <c r="D62" s="8" t="s">
        <v>197</v>
      </c>
      <c r="E62" s="8" t="s">
        <v>196</v>
      </c>
      <c r="F62" s="8" t="s">
        <v>197</v>
      </c>
      <c r="G62" s="8" t="s">
        <v>196</v>
      </c>
      <c r="H62" s="8" t="s">
        <v>197</v>
      </c>
      <c r="I62" s="8" t="s">
        <v>196</v>
      </c>
      <c r="J62" s="8" t="s">
        <v>197</v>
      </c>
      <c r="M62" s="7"/>
      <c r="N62" s="8" t="s">
        <v>196</v>
      </c>
      <c r="O62" s="8" t="s">
        <v>197</v>
      </c>
      <c r="P62" s="8" t="s">
        <v>196</v>
      </c>
      <c r="Q62" s="8" t="s">
        <v>197</v>
      </c>
      <c r="R62" s="8" t="s">
        <v>196</v>
      </c>
      <c r="S62" s="8" t="s">
        <v>197</v>
      </c>
      <c r="T62" s="8" t="s">
        <v>196</v>
      </c>
      <c r="U62" s="8" t="s">
        <v>197</v>
      </c>
    </row>
    <row r="63" spans="2:31" ht="15" customHeight="1">
      <c r="B63" s="138" t="s">
        <v>227</v>
      </c>
      <c r="C63" s="159">
        <f>($C$22*$I31)+('Incremental Rev Req'!$F$87*$I31)</f>
        <v>115.00874401247803</v>
      </c>
      <c r="D63" s="159">
        <f>($C$25*$J31)+('Incremental Rev Req'!$F$87*$J31)</f>
        <v>117.56449387942199</v>
      </c>
      <c r="E63" s="159">
        <f>$F$15+($D$22*$I31)+('Incremental Rev Req'!$F$87*$I31)</f>
        <v>124.99035190793732</v>
      </c>
      <c r="F63" s="159">
        <f>$F$15+($D$25*$J31)+('Incremental Rev Req'!$F$87*$J31)</f>
        <v>127.23896195033593</v>
      </c>
      <c r="G63" s="159">
        <f>$F$15+($E$22*$I31)+('Incremental Rev Req'!$F$87*$I31)</f>
        <v>136.07891687904862</v>
      </c>
      <c r="H63" s="159">
        <f>$F$15+($E$25*$J31)+('Incremental Rev Req'!$F$87*$J31)</f>
        <v>138.57393947636081</v>
      </c>
      <c r="I63" s="159">
        <f>$F$15+($F$22*$I31)+('Incremental Rev Req'!$F$87*$I31)</f>
        <v>140.44235013522081</v>
      </c>
      <c r="J63" s="159">
        <f>$F$15+($F$25*$J31)+('Incremental Rev Req'!$F$87*$J31)</f>
        <v>143.03433791600347</v>
      </c>
      <c r="M63" s="138" t="s">
        <v>227</v>
      </c>
      <c r="N63" s="159">
        <f>($C$22*$L31)+('Incremental Rev Req'!$F$87*$L31)</f>
        <v>77.098454319476019</v>
      </c>
      <c r="O63" s="159">
        <f>($C$25*$M31)+('Incremental Rev Req'!$F$87*$M31)</f>
        <v>112.45299414553408</v>
      </c>
      <c r="P63" s="159">
        <f>$F$15+($D$22*$L31)+('Incremental Rev Req'!$F$87*$L31)</f>
        <v>91.635969612357982</v>
      </c>
      <c r="Q63" s="159">
        <f>$F$15+($D$25*$M31)+('Incremental Rev Req'!$F$87*$M31)</f>
        <v>122.74174186553873</v>
      </c>
      <c r="R63" s="159">
        <f>$F$15+($E$22*$L31)+('Incremental Rev Req'!$F$87*$L31)</f>
        <v>99.06941501891778</v>
      </c>
      <c r="S63" s="159">
        <f>$F$15+($E$25*$M31)+('Incremental Rev Req'!$F$87*$M31)</f>
        <v>133.58389428173643</v>
      </c>
      <c r="T63" s="159">
        <f>$F$15+($F$22*$L31)+('Incremental Rev Req'!$F$87*$L31)</f>
        <v>101.9945313869443</v>
      </c>
      <c r="U63" s="159">
        <f>$F$15+($F$25*$M31)+('Incremental Rev Req'!$F$87*$M31)</f>
        <v>137.85036235443809</v>
      </c>
    </row>
    <row r="64" spans="2:31" ht="15" customHeight="1">
      <c r="B64" s="141" t="s">
        <v>229</v>
      </c>
      <c r="C64" s="159">
        <f>($C$22*$I32)+('Incremental Rev Req'!$F$87*$I32)</f>
        <v>173.79099095218905</v>
      </c>
      <c r="D64" s="159">
        <f>($C$25*$J32)+('Incremental Rev Req'!$F$87*$J32)</f>
        <v>164.84586641788516</v>
      </c>
      <c r="E64" s="159">
        <f>$F$15+($D$22*$I32)+('Incremental Rev Req'!$F$87*$I32)</f>
        <v>176.70838288310532</v>
      </c>
      <c r="F64" s="159">
        <f>$F$15+($D$25*$J32)+('Incremental Rev Req'!$F$87*$J32)</f>
        <v>168.83824773471017</v>
      </c>
      <c r="G64" s="159">
        <f>$F$15+($E$22*$I32)+('Incremental Rev Req'!$F$87*$I32)</f>
        <v>193.46443661722904</v>
      </c>
      <c r="H64" s="159">
        <f>$F$15+($E$25*$J32)+('Incremental Rev Req'!$F$87*$J32)</f>
        <v>184.73185752663633</v>
      </c>
      <c r="I64" s="159">
        <f>$F$15+($F$22*$I32)+('Incremental Rev Req'!$F$87*$I32)</f>
        <v>200.05806909322251</v>
      </c>
      <c r="J64" s="159">
        <f>$F$15+($F$25*$J32)+('Incremental Rev Req'!$F$87*$J32)</f>
        <v>190.98611186048311</v>
      </c>
      <c r="M64" s="141" t="s">
        <v>229</v>
      </c>
      <c r="N64" s="159">
        <f>($C$22*$L32)+('Incremental Rev Req'!$F$87*$L32)</f>
        <v>194.23698988774069</v>
      </c>
      <c r="O64" s="159">
        <f>($C$25*$M32)+('Incremental Rev Req'!$F$87*$M32)</f>
        <v>282.83631860846452</v>
      </c>
      <c r="P64" s="159">
        <f>$F$15+($D$22*$L32)+('Incremental Rev Req'!$F$87*$L32)</f>
        <v>194.69726322229417</v>
      </c>
      <c r="Q64" s="159">
        <f>$F$15+($D$25*$M32)+('Incremental Rev Req'!$F$87*$M32)</f>
        <v>272.64907802544593</v>
      </c>
      <c r="R64" s="159">
        <f>$F$15+($E$22*$L32)+('Incremental Rev Req'!$F$87*$L32)</f>
        <v>213.42461739572656</v>
      </c>
      <c r="S64" s="159">
        <f>$F$15+($E$25*$M32)+('Incremental Rev Req'!$F$87*$M32)</f>
        <v>299.91873410254925</v>
      </c>
      <c r="T64" s="159">
        <f>$F$15+($F$22*$L32)+('Incremental Rev Req'!$F$87*$L32)</f>
        <v>220.79397133948399</v>
      </c>
      <c r="U64" s="159">
        <f>$F$15+($F$25*$M32)+('Incremental Rev Req'!$F$87*$M32)</f>
        <v>310.64954773995044</v>
      </c>
    </row>
    <row r="65" spans="2:31">
      <c r="B65" s="141" t="s">
        <v>226</v>
      </c>
      <c r="C65" s="159">
        <f>($C$22*$I33)+('Incremental Rev Req'!$F$87*$I33)</f>
        <v>203.18211442204452</v>
      </c>
      <c r="D65" s="159">
        <f>($C$25*$J33)+('Incremental Rev Req'!$F$87*$J33)</f>
        <v>139.28836774844561</v>
      </c>
      <c r="E65" s="159">
        <f>$F$15+($D$22*$I33)+('Incremental Rev Req'!$F$87*$I33)</f>
        <v>202.56739837068926</v>
      </c>
      <c r="F65" s="159">
        <f>$F$15+($D$25*$J33)+('Incremental Rev Req'!$F$87*$J33)</f>
        <v>146.35214731072409</v>
      </c>
      <c r="G65" s="159">
        <f>$F$15+($E$22*$I33)+('Incremental Rev Req'!$F$87*$I33)</f>
        <v>222.15719648631921</v>
      </c>
      <c r="H65" s="159">
        <f>$F$15+($E$25*$J33)+('Incremental Rev Req'!$F$87*$J33)</f>
        <v>159.78163155351442</v>
      </c>
      <c r="I65" s="159">
        <f>$F$15+($F$22*$I33)+('Incremental Rev Req'!$F$87*$I33)</f>
        <v>229.86592857222337</v>
      </c>
      <c r="J65" s="159">
        <f>$F$15+($F$25*$J33)+('Incremental Rev Req'!$F$87*$J33)</f>
        <v>165.06623405265626</v>
      </c>
      <c r="M65" s="141" t="s">
        <v>226</v>
      </c>
      <c r="N65" s="159">
        <f>($C$22*$L33)+('Incremental Rev Req'!$F$87*$L33)</f>
        <v>216.81278037907896</v>
      </c>
      <c r="O65" s="159">
        <f>($C$25*$M33)+('Incremental Rev Req'!$F$87*$M33)</f>
        <v>218.51661362370828</v>
      </c>
      <c r="P65" s="159">
        <f>$F$15+($D$22*$L33)+('Incremental Rev Req'!$F$87*$L33)</f>
        <v>214.55998526348185</v>
      </c>
      <c r="Q65" s="159">
        <f>$F$15+($D$25*$M33)+('Incremental Rev Req'!$F$87*$M33)</f>
        <v>216.05905862508092</v>
      </c>
      <c r="R65" s="159">
        <f>$F$15+($E$22*$L33)+('Incremental Rev Req'!$F$87*$L33)</f>
        <v>235.46398367198424</v>
      </c>
      <c r="S65" s="159">
        <f>$F$15+($E$25*$M33)+('Incremental Rev Req'!$F$87*$M33)</f>
        <v>237.12733207019238</v>
      </c>
      <c r="T65" s="159">
        <f>$F$15+($F$22*$L33)+('Incremental Rev Req'!$F$87*$L33)</f>
        <v>243.68986340306435</v>
      </c>
      <c r="U65" s="159">
        <f>$F$15+($F$25*$M33)+('Incremental Rev Req'!$F$87*$M33)</f>
        <v>245.41785525691949</v>
      </c>
    </row>
    <row r="66" spans="2:31" s="10" customFormat="1" ht="18" customHeight="1">
      <c r="B66" s="144" t="s">
        <v>228</v>
      </c>
      <c r="C66" s="159">
        <f>($C$22*$I34)+('Incremental Rev Req'!$F$87*$I34)</f>
        <v>132.89899308108571</v>
      </c>
      <c r="D66" s="159">
        <f>($C$25*$J34)+('Incremental Rev Req'!$F$87*$J34)</f>
        <v>122.67599361330991</v>
      </c>
      <c r="E66" s="159">
        <f>$F$15+($D$22*$I34)+('Incremental Rev Req'!$F$87*$I34)</f>
        <v>140.73062220472758</v>
      </c>
      <c r="F66" s="159">
        <f>$F$15+($D$25*$J34)+('Incremental Rev Req'!$F$87*$J34)</f>
        <v>131.73618203513317</v>
      </c>
      <c r="G66" s="159">
        <f>$F$15+($E$22*$I34)+('Incremental Rev Req'!$F$87*$I34)</f>
        <v>153.54407506023395</v>
      </c>
      <c r="H66" s="159">
        <f>$F$15+($E$25*$J34)+('Incremental Rev Req'!$F$87*$J34)</f>
        <v>143.56398467098521</v>
      </c>
      <c r="I66" s="159">
        <f>$F$15+($F$22*$I34)+('Incremental Rev Req'!$F$87*$I34)</f>
        <v>158.58626460069956</v>
      </c>
      <c r="J66" s="159">
        <f>$F$15+($F$25*$J34)+('Incremental Rev Req'!$F$87*$J34)</f>
        <v>148.21831347756884</v>
      </c>
      <c r="M66" s="144" t="s">
        <v>228</v>
      </c>
      <c r="N66" s="159">
        <f>($C$22*$L34)+('Incremental Rev Req'!$F$87*$L34)</f>
        <v>111.60107752321942</v>
      </c>
      <c r="O66" s="159">
        <f>($C$25*$M34)+('Incremental Rev Req'!$F$87*$M34)</f>
        <v>155.474783572424</v>
      </c>
      <c r="P66" s="159">
        <f>$F$15+($D$22*$L34)+('Incremental Rev Req'!$F$87*$L34)</f>
        <v>121.99220518473918</v>
      </c>
      <c r="Q66" s="159">
        <f>$F$15+($D$25*$M34)+('Incremental Rev Req'!$F$87*$M34)</f>
        <v>160.59334424591529</v>
      </c>
      <c r="R66" s="159">
        <f>$F$15+($E$22*$L34)+('Incremental Rev Req'!$F$87*$L34)</f>
        <v>132.75222008263236</v>
      </c>
      <c r="S66" s="159">
        <f>$F$15+($E$25*$M34)+('Incremental Rev Req'!$F$87*$M34)</f>
        <v>175.58344133649166</v>
      </c>
      <c r="T66" s="159">
        <f>$F$15+($F$22*$L34)+('Incremental Rev Req'!$F$87*$L34)</f>
        <v>136.98636642751055</v>
      </c>
      <c r="U66" s="159">
        <f>$F$15+($F$25*$M34)+('Incremental Rev Req'!$F$87*$M34)</f>
        <v>181.48215666427996</v>
      </c>
      <c r="X66" s="6"/>
      <c r="Y66" s="6"/>
      <c r="Z66" s="6"/>
      <c r="AA66" s="6"/>
      <c r="AB66" s="6"/>
      <c r="AC66" s="6"/>
      <c r="AD66" s="6"/>
      <c r="AE66" s="6"/>
    </row>
    <row r="67" spans="2:31">
      <c r="B67" s="6" t="s">
        <v>113</v>
      </c>
      <c r="C67" s="157">
        <f t="shared" ref="C67:J67" si="12">SUMPRODUCT(C63:C66,$U$22:$U$25)</f>
        <v>122.68732796483253</v>
      </c>
      <c r="D67" s="157">
        <f t="shared" si="12"/>
        <v>120.01208268928468</v>
      </c>
      <c r="E67" s="157">
        <f t="shared" si="12"/>
        <v>131.74615426950064</v>
      </c>
      <c r="F67" s="157">
        <f t="shared" si="12"/>
        <v>129.39240930005673</v>
      </c>
      <c r="G67" s="157">
        <f t="shared" si="12"/>
        <v>143.57504970655091</v>
      </c>
      <c r="H67" s="157">
        <f t="shared" si="12"/>
        <v>140.96337103557596</v>
      </c>
      <c r="I67" s="157">
        <f t="shared" si="12"/>
        <v>148.22980853858002</v>
      </c>
      <c r="J67" s="157">
        <f t="shared" si="12"/>
        <v>145.51663102676497</v>
      </c>
      <c r="M67" s="6" t="s">
        <v>113</v>
      </c>
      <c r="N67" s="157">
        <f>SUMPRODUCT(N63:N66,$U$31:$U$34)</f>
        <v>93.720618187131066</v>
      </c>
      <c r="O67" s="157">
        <f t="shared" ref="O67:U67" si="13">SUMPRODUCT(O63:O66,$U$31:$U$34)</f>
        <v>133.29776627133731</v>
      </c>
      <c r="P67" s="157">
        <f t="shared" si="13"/>
        <v>106.26054812946373</v>
      </c>
      <c r="Q67" s="157">
        <f t="shared" si="13"/>
        <v>141.08147242361511</v>
      </c>
      <c r="R67" s="157">
        <f t="shared" si="13"/>
        <v>115.29661901976024</v>
      </c>
      <c r="S67" s="157">
        <f t="shared" si="13"/>
        <v>153.93337298557034</v>
      </c>
      <c r="T67" s="157">
        <f t="shared" si="13"/>
        <v>118.85238050292514</v>
      </c>
      <c r="U67" s="157">
        <f t="shared" si="13"/>
        <v>158.990691986104</v>
      </c>
      <c r="X67" s="10"/>
      <c r="Y67" s="10"/>
      <c r="Z67" s="10"/>
      <c r="AA67" s="10"/>
    </row>
    <row r="68" spans="2:31">
      <c r="B68" s="7"/>
      <c r="C68" s="143"/>
      <c r="D68" s="143"/>
      <c r="E68" s="158"/>
      <c r="F68" s="146"/>
      <c r="G68" s="147"/>
      <c r="H68" s="147"/>
      <c r="I68" s="147"/>
      <c r="J68" s="147"/>
      <c r="M68" s="7"/>
      <c r="N68" s="143"/>
      <c r="O68" s="143"/>
      <c r="P68" s="158"/>
      <c r="Q68" s="146"/>
      <c r="R68" s="147"/>
      <c r="S68" s="147"/>
      <c r="T68" s="147"/>
      <c r="U68" s="147"/>
    </row>
    <row r="69" spans="2:31">
      <c r="B69" s="7"/>
      <c r="C69" s="143"/>
      <c r="D69" s="143"/>
      <c r="E69" s="158"/>
      <c r="F69" s="143"/>
      <c r="G69" s="147"/>
      <c r="H69" s="147"/>
      <c r="I69" s="147"/>
      <c r="J69" s="147"/>
      <c r="M69" s="7"/>
      <c r="N69" s="143"/>
      <c r="O69" s="143"/>
      <c r="P69" s="158"/>
      <c r="Q69" s="143"/>
      <c r="R69" s="147"/>
      <c r="S69" s="147"/>
      <c r="T69" s="147"/>
      <c r="U69" s="147"/>
    </row>
    <row r="70" spans="2:31">
      <c r="B70" s="7"/>
      <c r="C70" s="587" t="s">
        <v>290</v>
      </c>
      <c r="D70" s="587"/>
      <c r="E70" s="587"/>
      <c r="F70" s="587"/>
      <c r="G70" s="587"/>
      <c r="H70" s="587"/>
      <c r="I70" s="587"/>
      <c r="J70" s="587"/>
      <c r="M70" s="7"/>
      <c r="N70" s="587" t="s">
        <v>279</v>
      </c>
      <c r="O70" s="587"/>
      <c r="P70" s="587"/>
      <c r="Q70" s="587"/>
      <c r="R70" s="587"/>
      <c r="S70" s="587"/>
      <c r="T70" s="587"/>
      <c r="U70" s="587"/>
      <c r="AD70" s="10"/>
      <c r="AE70" s="10"/>
    </row>
    <row r="71" spans="2:31">
      <c r="B71" s="7"/>
      <c r="C71" s="585" t="str">
        <f>C61</f>
        <v>6/1/2025</v>
      </c>
      <c r="D71" s="585"/>
      <c r="E71" s="586" t="str">
        <f>E61</f>
        <v>10/1/25</v>
      </c>
      <c r="F71" s="585"/>
      <c r="G71" s="585" t="str">
        <f>G61</f>
        <v>Authorized</v>
      </c>
      <c r="H71" s="585"/>
      <c r="I71" s="586" t="str">
        <f>I61</f>
        <v>w/Pending</v>
      </c>
      <c r="J71" s="585"/>
      <c r="M71" s="7"/>
      <c r="N71" s="585" t="str">
        <f>N61</f>
        <v>6/1/2025</v>
      </c>
      <c r="O71" s="585"/>
      <c r="P71" s="586" t="str">
        <f>P61</f>
        <v>10/1/25</v>
      </c>
      <c r="Q71" s="585"/>
      <c r="R71" s="585" t="str">
        <f>R61</f>
        <v>Authorized</v>
      </c>
      <c r="S71" s="585"/>
      <c r="T71" s="586" t="str">
        <f>T61</f>
        <v>w/Pending</v>
      </c>
      <c r="U71" s="585"/>
      <c r="AB71" s="10"/>
      <c r="AC71" s="10"/>
    </row>
    <row r="72" spans="2:31">
      <c r="B72" s="7"/>
      <c r="C72" s="143" t="s">
        <v>196</v>
      </c>
      <c r="D72" s="143" t="s">
        <v>197</v>
      </c>
      <c r="E72" s="143" t="s">
        <v>196</v>
      </c>
      <c r="F72" s="143" t="s">
        <v>197</v>
      </c>
      <c r="G72" s="143" t="s">
        <v>196</v>
      </c>
      <c r="H72" s="143" t="s">
        <v>197</v>
      </c>
      <c r="I72" s="143" t="s">
        <v>196</v>
      </c>
      <c r="J72" s="143" t="s">
        <v>197</v>
      </c>
      <c r="M72" s="7"/>
      <c r="N72" s="143" t="s">
        <v>196</v>
      </c>
      <c r="O72" s="143" t="s">
        <v>197</v>
      </c>
      <c r="P72" s="143" t="s">
        <v>196</v>
      </c>
      <c r="Q72" s="143" t="s">
        <v>197</v>
      </c>
      <c r="R72" s="143" t="s">
        <v>196</v>
      </c>
      <c r="S72" s="143" t="s">
        <v>197</v>
      </c>
      <c r="T72" s="143" t="s">
        <v>196</v>
      </c>
      <c r="U72" s="143" t="s">
        <v>197</v>
      </c>
    </row>
    <row r="73" spans="2:31">
      <c r="B73" s="138" t="s">
        <v>227</v>
      </c>
      <c r="C73" s="159">
        <f>($C$31*$I31)+('Incremental Rev Req'!$F$87*$I31)</f>
        <v>71.628299999999996</v>
      </c>
      <c r="D73" s="159">
        <f>($C$34*$J31)+('Incremental Rev Req'!$F$87*$J31)</f>
        <v>73.220039999999997</v>
      </c>
      <c r="E73" s="159">
        <f>$Q$15+($D$31*$I31)+('Incremental Rev Req'!$F$87*$I31)</f>
        <v>70.716300000000004</v>
      </c>
      <c r="F73" s="159">
        <f>$Q$15+($D$34*$J31)+('Incremental Rev Req'!$F$87*$J31)</f>
        <v>72.156360000000006</v>
      </c>
      <c r="G73" s="159">
        <f>$Q$15+($E$31*$I31)+('Incremental Rev Req'!$F$87*$I31)</f>
        <v>77.809134714040354</v>
      </c>
      <c r="H73" s="159">
        <f>$Q$15+($E$34*$J31)+('Incremental Rev Req'!$F$87*$J31)</f>
        <v>79.406813263241247</v>
      </c>
      <c r="I73" s="159">
        <f>$Q$15+($F$31*$I31)+('Incremental Rev Req'!$F$87*$I31)</f>
        <v>80.600218226867014</v>
      </c>
      <c r="J73" s="159">
        <f>$Q$15+($F$34*$J31)+('Incremental Rev Req'!$F$87*$J31)</f>
        <v>82.259920854130726</v>
      </c>
      <c r="M73" s="138" t="s">
        <v>227</v>
      </c>
      <c r="N73" s="159">
        <f>($C$31*$L31)+('Incremental Rev Req'!$F$87*$L31)</f>
        <v>48.017489999999995</v>
      </c>
      <c r="O73" s="159">
        <f>($C$34*$M31)+('Incremental Rev Req'!$F$87*$M31)</f>
        <v>70.036560000000009</v>
      </c>
      <c r="P73" s="159">
        <f>$Q$15+($D$31*$L31)+('Incremental Rev Req'!$F$87*$L31)</f>
        <v>49.355409999999999</v>
      </c>
      <c r="Q73" s="159">
        <f>$Q$15+($D$34*$M31)+('Incremental Rev Req'!$F$87*$M31)</f>
        <v>69.276240000000001</v>
      </c>
      <c r="R73" s="159">
        <f>$Q$15+($E$31*$L31)+('Incremental Rev Req'!$F$87*$L31)</f>
        <v>54.110236234227052</v>
      </c>
      <c r="S73" s="159">
        <f>$Q$15+($E$34*$M31)+('Incremental Rev Req'!$F$87*$M31)</f>
        <v>76.211456164839461</v>
      </c>
      <c r="T73" s="159">
        <f>$Q$15+($F$31*$L31)+('Incremental Rev Req'!$F$87*$L31)</f>
        <v>55.981295922455296</v>
      </c>
      <c r="U73" s="159">
        <f>$Q$15+($F$34*$M31)+('Incremental Rev Req'!$F$87*$M31)</f>
        <v>78.940515599603316</v>
      </c>
    </row>
    <row r="74" spans="2:31">
      <c r="B74" s="141" t="s">
        <v>229</v>
      </c>
      <c r="C74" s="159">
        <f>($C$31*$I32)+('Incremental Rev Req'!$F$87*$I32)</f>
        <v>108.23832</v>
      </c>
      <c r="D74" s="159">
        <f>($C$34*$J32)+('Incremental Rev Req'!$F$87*$J32)</f>
        <v>102.66723</v>
      </c>
      <c r="E74" s="159">
        <f>$Q$15+($D$31*$I32)+('Incremental Rev Req'!$F$87*$I32)</f>
        <v>103.83768000000001</v>
      </c>
      <c r="F74" s="159">
        <f>$Q$15+($D$34*$J32)+('Incremental Rev Req'!$F$87*$J32)</f>
        <v>98.797470000000004</v>
      </c>
      <c r="G74" s="159">
        <f>$Q$15+($E$31*$I32)+('Incremental Rev Req'!$F$87*$I32)</f>
        <v>114.55574134566099</v>
      </c>
      <c r="H74" s="159">
        <f>$Q$15+($E$34*$J32)+('Incremental Rev Req'!$F$87*$J32)</f>
        <v>108.96386642345784</v>
      </c>
      <c r="I74" s="159">
        <f>$Q$15+($F$31*$I32)+('Incremental Rev Req'!$F$87*$I32)</f>
        <v>118.7733786539324</v>
      </c>
      <c r="J74" s="159">
        <f>$Q$15+($F$34*$J32)+('Incremental Rev Req'!$F$87*$J32)</f>
        <v>112.9644194585094</v>
      </c>
      <c r="M74" s="141" t="s">
        <v>229</v>
      </c>
      <c r="N74" s="159">
        <f>($C$31*$L32)+('Incremental Rev Req'!$F$87*$L32)</f>
        <v>120.97224</v>
      </c>
      <c r="O74" s="159">
        <f>($C$34*$M32)+('Incremental Rev Req'!$F$87*$M32)</f>
        <v>176.15256000000002</v>
      </c>
      <c r="P74" s="159">
        <f>$Q$15+($D$31*$L32)+('Incremental Rev Req'!$F$87*$L32)</f>
        <v>115.35816000000001</v>
      </c>
      <c r="Q74" s="159">
        <f>$Q$15+($D$34*$M32)+('Incremental Rev Req'!$F$87*$M32)</f>
        <v>165.28024000000002</v>
      </c>
      <c r="R74" s="159">
        <f>$Q$15+($E$31*$L32)+('Incremental Rev Req'!$F$87*$L32)</f>
        <v>127.33716973926816</v>
      </c>
      <c r="S74" s="159">
        <f>$Q$15+($E$34*$M32)+('Incremental Rev Req'!$F$87*$M32)</f>
        <v>182.72335944489924</v>
      </c>
      <c r="T74" s="159">
        <f>$Q$15+($F$31*$L32)+('Incremental Rev Req'!$F$87*$L32)</f>
        <v>132.05099967204208</v>
      </c>
      <c r="U74" s="159">
        <f>$Q$15+($F$34*$M32)+('Incremental Rev Req'!$F$87*$M32)</f>
        <v>189.58735741718408</v>
      </c>
    </row>
    <row r="75" spans="2:31">
      <c r="B75" s="141" t="s">
        <v>226</v>
      </c>
      <c r="C75" s="159">
        <f>($C$31*$I33)+('Incremental Rev Req'!$F$87*$I33)</f>
        <v>126.54333000000001</v>
      </c>
      <c r="D75" s="159">
        <f>($C$34*$J33)+('Incremental Rev Req'!$F$87*$J33)</f>
        <v>86.749830000000003</v>
      </c>
      <c r="E75" s="159">
        <f>$Q$15+($D$31*$I33)+('Incremental Rev Req'!$F$87*$I33)</f>
        <v>120.39837000000001</v>
      </c>
      <c r="F75" s="159">
        <f>$Q$15+($D$34*$J33)+('Incremental Rev Req'!$F$87*$J33)</f>
        <v>84.396870000000007</v>
      </c>
      <c r="G75" s="159">
        <f>$Q$15+($E$31*$I33)+('Incremental Rev Req'!$F$87*$I33)</f>
        <v>132.92904466147129</v>
      </c>
      <c r="H75" s="159">
        <f>$Q$15+($E$34*$J33)+('Incremental Rev Req'!$F$87*$J33)</f>
        <v>92.987080931448872</v>
      </c>
      <c r="I75" s="159">
        <f>$Q$15+($F$31*$I33)+('Incremental Rev Req'!$F$87*$I33)</f>
        <v>137.85995886746505</v>
      </c>
      <c r="J75" s="159">
        <f>$Q$15+($F$34*$J33)+('Incremental Rev Req'!$F$87*$J33)</f>
        <v>96.367393185872288</v>
      </c>
      <c r="M75" s="141" t="s">
        <v>226</v>
      </c>
      <c r="N75" s="159">
        <f>($C$31*$L33)+('Incremental Rev Req'!$F$87*$L33)</f>
        <v>135.03260999999998</v>
      </c>
      <c r="O75" s="159">
        <f>($C$34*$M33)+('Incremental Rev Req'!$F$87*$M33)</f>
        <v>136.09377000000001</v>
      </c>
      <c r="P75" s="159">
        <f>$Q$15+($D$31*$L33)+('Incremental Rev Req'!$F$87*$L33)</f>
        <v>128.07868999999999</v>
      </c>
      <c r="Q75" s="159">
        <f>$Q$15+($D$34*$M33)+('Incremental Rev Req'!$F$87*$M33)</f>
        <v>129.03873000000002</v>
      </c>
      <c r="R75" s="159">
        <f>$Q$15+($E$31*$L33)+('Incremental Rev Req'!$F$87*$L33)</f>
        <v>141.44999692387606</v>
      </c>
      <c r="S75" s="159">
        <f>$Q$15+($E$34*$M33)+('Incremental Rev Req'!$F$87*$M33)</f>
        <v>142.51511595667668</v>
      </c>
      <c r="T75" s="159">
        <f>$Q$15+($F$31*$L33)+('Incremental Rev Req'!$F$87*$L33)</f>
        <v>146.71170621287152</v>
      </c>
      <c r="U75" s="159">
        <f>$Q$15+($F$34*$M33)+('Incremental Rev Req'!$F$87*$M33)</f>
        <v>147.81817463104736</v>
      </c>
    </row>
    <row r="76" spans="2:31">
      <c r="B76" s="144" t="s">
        <v>228</v>
      </c>
      <c r="C76" s="159">
        <f>($C$31*$I34)+('Incremental Rev Req'!$F$87*$I34)</f>
        <v>82.770480000000006</v>
      </c>
      <c r="D76" s="159">
        <f>($C$34*$J34)+('Incremental Rev Req'!$F$87*$J34)</f>
        <v>76.40352</v>
      </c>
      <c r="E76" s="159">
        <f>$Q$15+($D$31*$I34)+('Incremental Rev Req'!$F$87*$I34)</f>
        <v>80.796720000000008</v>
      </c>
      <c r="F76" s="159">
        <f>$Q$15+($D$34*$J34)+('Incremental Rev Req'!$F$87*$J34)</f>
        <v>75.036480000000012</v>
      </c>
      <c r="G76" s="159">
        <f>$Q$15+($E$31*$I34)+('Incremental Rev Req'!$F$87*$I34)</f>
        <v>88.992884558446633</v>
      </c>
      <c r="H76" s="159">
        <f>$Q$15+($E$34*$J34)+('Incremental Rev Req'!$F$87*$J34)</f>
        <v>82.602170361643047</v>
      </c>
      <c r="I76" s="159">
        <f>$Q$15+($F$31*$I34)+('Incremental Rev Req'!$F$87*$I34)</f>
        <v>92.218136617713</v>
      </c>
      <c r="J76" s="159">
        <f>$Q$15+($F$34*$J34)+('Incremental Rev Req'!$F$87*$J34)</f>
        <v>85.579326108658165</v>
      </c>
      <c r="M76" s="144" t="s">
        <v>228</v>
      </c>
      <c r="N76" s="159">
        <f>($C$31*$L34)+('Incremental Rev Req'!$F$87*$L34)</f>
        <v>69.505979999999994</v>
      </c>
      <c r="O76" s="159">
        <f>($C$34*$M34)+('Incremental Rev Req'!$F$87*$M34)</f>
        <v>96.830849999999998</v>
      </c>
      <c r="P76" s="159">
        <f>$Q$15+($D$31*$L34)+('Incremental Rev Req'!$F$87*$L34)</f>
        <v>68.796219999999991</v>
      </c>
      <c r="Q76" s="159">
        <f>$Q$15+($D$34*$M34)+('Incremental Rev Req'!$F$87*$M34)</f>
        <v>93.517250000000004</v>
      </c>
      <c r="R76" s="159">
        <f>$Q$15+($E$31*$L34)+('Incremental Rev Req'!$F$87*$L34)</f>
        <v>75.678896648439149</v>
      </c>
      <c r="S76" s="159">
        <f>$Q$15+($E$34*$M34)+('Incremental Rev Req'!$F$87*$M34)</f>
        <v>103.10571174305456</v>
      </c>
      <c r="T76" s="159">
        <f>$Q$15+($F$31*$L34)+('Incremental Rev Req'!$F$87*$L34)</f>
        <v>78.387281390515398</v>
      </c>
      <c r="U76" s="159">
        <f>$Q$15+($F$34*$M34)+('Incremental Rev Req'!$F$87*$M34)</f>
        <v>106.87884315854245</v>
      </c>
    </row>
    <row r="77" spans="2:31">
      <c r="B77" s="6" t="s">
        <v>113</v>
      </c>
      <c r="C77" s="157">
        <f>SUMPRODUCT(C73:C76,$V$22:$V$25)</f>
        <v>77.440193093473411</v>
      </c>
      <c r="D77" s="157">
        <f t="shared" ref="D77:J77" si="14">SUMPRODUCT(D73:D76,$V$22:$V$25)</f>
        <v>75.031963788222242</v>
      </c>
      <c r="E77" s="157">
        <f t="shared" si="14"/>
        <v>75.974366498415151</v>
      </c>
      <c r="F77" s="157">
        <f t="shared" si="14"/>
        <v>73.795622046858995</v>
      </c>
      <c r="G77" s="157">
        <f t="shared" si="14"/>
        <v>83.642711130849193</v>
      </c>
      <c r="H77" s="157">
        <f t="shared" si="14"/>
        <v>81.225497074183679</v>
      </c>
      <c r="I77" s="157">
        <f t="shared" si="14"/>
        <v>86.660262101252044</v>
      </c>
      <c r="J77" s="157">
        <f t="shared" si="14"/>
        <v>84.149208471275529</v>
      </c>
      <c r="M77" s="6" t="s">
        <v>113</v>
      </c>
      <c r="N77" s="157">
        <f>SUMPRODUCT(N73:N76,$V$31:$V$34)</f>
        <v>60.914296042585548</v>
      </c>
      <c r="O77" s="157">
        <f t="shared" ref="O77:U77" si="15">SUMPRODUCT(O73:O76,$V$31:$V$34)</f>
        <v>86.176039864530154</v>
      </c>
      <c r="P77" s="157">
        <f t="shared" si="15"/>
        <v>61.023254314828897</v>
      </c>
      <c r="Q77" s="157">
        <f t="shared" si="15"/>
        <v>83.877757442368278</v>
      </c>
      <c r="R77" s="157">
        <f t="shared" si="15"/>
        <v>67.05515837442799</v>
      </c>
      <c r="S77" s="157">
        <f t="shared" si="15"/>
        <v>92.411150068881341</v>
      </c>
      <c r="T77" s="157">
        <f t="shared" si="15"/>
        <v>69.428757739202851</v>
      </c>
      <c r="U77" s="157">
        <f t="shared" si="15"/>
        <v>95.769103895324008</v>
      </c>
    </row>
    <row r="78" spans="2:31">
      <c r="B78" s="7"/>
      <c r="C78" s="8"/>
      <c r="D78" s="8"/>
      <c r="E78" s="9"/>
      <c r="F78" s="8"/>
      <c r="G78" s="147"/>
      <c r="H78" s="147"/>
      <c r="I78" s="147"/>
      <c r="J78" s="147"/>
      <c r="M78" s="7"/>
      <c r="N78" s="8"/>
      <c r="O78" s="8"/>
      <c r="P78" s="9"/>
      <c r="Q78" s="8"/>
      <c r="R78" s="147"/>
      <c r="S78" s="147"/>
      <c r="T78" s="147"/>
      <c r="U78" s="147"/>
    </row>
    <row r="79" spans="2:31" ht="15" thickBot="1"/>
    <row r="80" spans="2:31" ht="15" thickBot="1">
      <c r="B80" s="654">
        <f>IF(Summary!$I$9="",400,Summary!$I$9)</f>
        <v>400</v>
      </c>
      <c r="C80" s="655" t="str">
        <f>$B$80&amp;" kWh Monthly Basic Bundled Non-CARE Customer"</f>
        <v>400 kWh Monthly Basic Bundled Non-CARE Customer</v>
      </c>
      <c r="D80" s="655"/>
      <c r="E80" s="655"/>
      <c r="F80" s="655"/>
      <c r="G80" s="655"/>
      <c r="H80" s="655"/>
      <c r="I80" s="655"/>
      <c r="J80" s="655"/>
      <c r="K80" s="643"/>
      <c r="L80" s="643"/>
      <c r="M80" s="654">
        <f>IF(Summary!$I$9="",400,Summary!$I$9)</f>
        <v>400</v>
      </c>
      <c r="N80" s="655" t="str">
        <f>$M$80&amp;" kWh Monthly All-Electric Bundled Non-CARE Customer"</f>
        <v>400 kWh Monthly All-Electric Bundled Non-CARE Customer</v>
      </c>
      <c r="O80" s="655"/>
      <c r="P80" s="655"/>
      <c r="Q80" s="655"/>
      <c r="R80" s="655"/>
      <c r="S80" s="655"/>
      <c r="T80" s="655"/>
      <c r="U80" s="655"/>
    </row>
    <row r="81" spans="2:21">
      <c r="B81" s="7"/>
      <c r="C81" s="581" t="str">
        <f>C71</f>
        <v>6/1/2025</v>
      </c>
      <c r="D81" s="581"/>
      <c r="E81" s="580" t="str">
        <f>E71</f>
        <v>10/1/25</v>
      </c>
      <c r="F81" s="581"/>
      <c r="G81" s="581" t="str">
        <f>G71</f>
        <v>Authorized</v>
      </c>
      <c r="H81" s="581"/>
      <c r="I81" s="580" t="str">
        <f>I71</f>
        <v>w/Pending</v>
      </c>
      <c r="J81" s="581"/>
      <c r="M81" s="7"/>
      <c r="N81" s="581" t="str">
        <f>N71</f>
        <v>6/1/2025</v>
      </c>
      <c r="O81" s="581"/>
      <c r="P81" s="580" t="str">
        <f>P71</f>
        <v>10/1/25</v>
      </c>
      <c r="Q81" s="581"/>
      <c r="R81" s="581" t="str">
        <f>R71</f>
        <v>Authorized</v>
      </c>
      <c r="S81" s="581"/>
      <c r="T81" s="580" t="str">
        <f>T71</f>
        <v>w/Pending</v>
      </c>
      <c r="U81" s="581"/>
    </row>
    <row r="82" spans="2:21">
      <c r="B82" s="7"/>
      <c r="C82" s="8" t="s">
        <v>196</v>
      </c>
      <c r="D82" s="8" t="s">
        <v>197</v>
      </c>
      <c r="E82" s="8" t="s">
        <v>196</v>
      </c>
      <c r="F82" s="8" t="s">
        <v>197</v>
      </c>
      <c r="G82" s="8" t="s">
        <v>196</v>
      </c>
      <c r="H82" s="8" t="s">
        <v>197</v>
      </c>
      <c r="I82" s="8" t="s">
        <v>196</v>
      </c>
      <c r="J82" s="8" t="s">
        <v>197</v>
      </c>
      <c r="M82" s="7"/>
      <c r="N82" s="8" t="s">
        <v>196</v>
      </c>
      <c r="O82" s="8" t="s">
        <v>197</v>
      </c>
      <c r="P82" s="8" t="s">
        <v>196</v>
      </c>
      <c r="Q82" s="8" t="s">
        <v>197</v>
      </c>
      <c r="R82" s="8" t="s">
        <v>196</v>
      </c>
      <c r="S82" s="8" t="s">
        <v>197</v>
      </c>
      <c r="T82" s="8" t="s">
        <v>196</v>
      </c>
      <c r="U82" s="8" t="s">
        <v>197</v>
      </c>
    </row>
    <row r="83" spans="2:21">
      <c r="B83" s="138" t="s">
        <v>227</v>
      </c>
      <c r="C83" s="159">
        <f>$C$22*MIN(I22,$B$80)+IF($B$80-I22&gt;0,$C$23*($B$80-I22))+('Incremental Rev Req'!$F$87*$B$80)</f>
        <v>175.78159827915951</v>
      </c>
      <c r="D83" s="159">
        <f>$C$25*MIN(J22,$B$80)+IF($B$80-J22&gt;0,$C$26*($B$80-J22))+('Incremental Rev Req'!$F$87*$B$80)</f>
        <v>174.9002474520201</v>
      </c>
      <c r="E83" s="159">
        <f>$F$15+$D$22*MIN(I22,$B$80)+IF($B$80-I22&gt;0,$D$23*($B$80-I22))+('Incremental Rev Req'!$F$87*$B$80)</f>
        <v>178.4585462531131</v>
      </c>
      <c r="F83" s="159">
        <f>$F$15+$D$25*MIN(J22,$B$80)+IF($B$80-J22&gt;0,$D$26*($B$80-J22))+('Incremental Rev Req'!$F$87*$B$80)</f>
        <v>177.6833119521815</v>
      </c>
      <c r="G83" s="159">
        <f>$F$15+$E$22*MIN(I22,$B$80)+IF($B$80-I22&gt;0,$E$23*($B$80-I22))+('Incremental Rev Req'!$F$87*$B$80)</f>
        <v>195.40750369106752</v>
      </c>
      <c r="H83" s="159">
        <f>$F$15+$E$25*MIN(J22,$B$80)+IF($B$80-J22&gt;0,$E$26*($B$80-J22))+('Incremental Rev Req'!$F$87*$B$80)</f>
        <v>194.54713407959736</v>
      </c>
      <c r="I83" s="159">
        <f>$F$15+$F$22*MIN(I22,$B$80)+IF($B$80-I22&gt;0,$F$23*($B$80-I22))+('Incremental Rev Req'!$F$87*$B$80)</f>
        <v>202.07704521739589</v>
      </c>
      <c r="J83" s="159">
        <f>$F$15+$F$25*MIN(J22,$B$80)+IF($B$80-J22&gt;0,$F$26*($B$80-J22))+('Incremental Rev Req'!$F$87*$B$80)</f>
        <v>201.18317422443531</v>
      </c>
      <c r="M83" s="138" t="s">
        <v>227</v>
      </c>
      <c r="N83" s="159">
        <f>$C$22*MIN($L22,$M$80)+IF($M$80-$L22&gt;0,$C$23*($M$80-$L22))+('Incremental Rev Req'!$F$87*$M$80)</f>
        <v>188.56118527268148</v>
      </c>
      <c r="O83" s="159">
        <f>$C$25*MIN($M22,$M$80)+IF($M$80-$M22&gt;0,$C$26*($M$80-$M22))+('Incremental Rev Req'!$F$87*$M$80)</f>
        <v>176.66294910629895</v>
      </c>
      <c r="P83" s="159">
        <f>$F$15+$D$22*MIN($L22,$M$80)+IF($M$80-$L22&gt;0,$D$23*($M$80-$L22))+('Incremental Rev Req'!$F$87*$M$80)</f>
        <v>189.69944361662101</v>
      </c>
      <c r="Q83" s="159">
        <f>$F$15+$D$25*MIN($M22,$M$80)+IF($M$80-$M22&gt;0,$D$26*($M$80-$M22))+('Incremental Rev Req'!$F$87*$M$80)</f>
        <v>179.23378055404464</v>
      </c>
      <c r="R83" s="159">
        <f>$F$15+$E$22*MIN($L22,$M$80)+IF($M$80-$L22&gt;0,$E$23*($M$80-$L22))+('Incremental Rev Req'!$F$87*$M$80)</f>
        <v>207.8828630573849</v>
      </c>
      <c r="S83" s="159">
        <f>$F$15+$E$25*MIN($M22,$M$80)+IF($M$80-$M22&gt;0,$E$26*($M$80-$M22))+('Incremental Rev Req'!$F$87*$M$80)</f>
        <v>196.26787330253768</v>
      </c>
      <c r="T83" s="159">
        <f>$F$15+$F$22*MIN($L22,$M$80)+IF($M$80-$L22&gt;0,$F$23*($M$80-$L22))+('Incremental Rev Req'!$F$87*$M$80)</f>
        <v>215.03817461532449</v>
      </c>
      <c r="U83" s="159">
        <f>$F$15+$F$25*MIN($M22,$M$80)+IF($M$80-$M22&gt;0,$F$26*($M$80-$M22))+('Incremental Rev Req'!$F$87*$M$80)</f>
        <v>202.97091621035648</v>
      </c>
    </row>
    <row r="84" spans="2:21">
      <c r="B84" s="141" t="s">
        <v>229</v>
      </c>
      <c r="C84" s="159">
        <f>$C$22*MIN(I23,$B$80)+IF($B$80-I23&gt;0,$C$23*($B$80-I23))+('Incremental Rev Req'!$F$87*$B$80)</f>
        <v>170.3833244629304</v>
      </c>
      <c r="D84" s="159">
        <f>$C$25*MIN(J23,$B$80)+IF($B$80-J23&gt;0,$C$26*($B$80-J23))+('Incremental Rev Req'!$F$87*$B$80)</f>
        <v>170.3833244629304</v>
      </c>
      <c r="E84" s="159">
        <f>$F$15+$D$22*MIN(I23,$B$80)+IF($B$80-I23&gt;0,$D$23*($B$80-I23))+('Incremental Rev Req'!$F$87*$B$80)</f>
        <v>173.71023615990714</v>
      </c>
      <c r="F84" s="159">
        <f>$F$15+$D$25*MIN(J23,$B$80)+IF($B$80-J23&gt;0,$D$26*($B$80-J23))+('Incremental Rev Req'!$F$87*$B$80)</f>
        <v>173.71023615990714</v>
      </c>
      <c r="G84" s="159">
        <f>$F$15+$E$22*MIN(I23,$B$80)+IF($B$80-I23&gt;0,$E$23*($B$80-I23))+('Incremental Rev Req'!$F$87*$B$80)</f>
        <v>190.13773982081275</v>
      </c>
      <c r="H84" s="159">
        <f>$F$15+$E$25*MIN(J23,$B$80)+IF($B$80-J23&gt;0,$E$26*($B$80-J23))+('Incremental Rev Req'!$F$87*$B$80)</f>
        <v>190.13773982081275</v>
      </c>
      <c r="I84" s="159">
        <f>$F$15+$F$22*MIN(I23,$B$80)+IF($B$80-I23&gt;0,$F$23*($B$80-I23))+('Incremental Rev Req'!$F$87*$B$80)</f>
        <v>196.60208538551225</v>
      </c>
      <c r="J84" s="159">
        <f>$F$15+$F$25*MIN(J23,$B$80)+IF($B$80-J23&gt;0,$F$26*($B$80-J23))+('Incremental Rev Req'!$F$87*$B$80)</f>
        <v>196.60208538551225</v>
      </c>
      <c r="M84" s="141" t="s">
        <v>229</v>
      </c>
      <c r="N84" s="159">
        <f>$C$22*MIN($L23,$M$80)+IF($M$80-$L23&gt;0,$C$23*($M$80-$L23))+('Incremental Rev Req'!$F$87*$M$80)</f>
        <v>170.3833244629304</v>
      </c>
      <c r="O84" s="159">
        <f>$C$25*MIN($M23,$M$80)+IF($M$80-$M23&gt;0,$C$26*($M$80-$M23))+('Incremental Rev Req'!$F$87*$M$80)</f>
        <v>170.3833244629304</v>
      </c>
      <c r="P84" s="159">
        <f>$F$15+$D$22*MIN($L23,$M$80)+IF($M$80-$L23&gt;0,$D$23*($M$80-$L23))+('Incremental Rev Req'!$F$87*$M$80)</f>
        <v>173.71023615990714</v>
      </c>
      <c r="Q84" s="159">
        <f>$F$15+$D$25*MIN($M23,$M$80)+IF($M$80-$M23&gt;0,$D$26*($M$80-$M23))+('Incremental Rev Req'!$F$87*$M$80)</f>
        <v>173.71023615990714</v>
      </c>
      <c r="R84" s="159">
        <f>$F$15+$E$22*MIN($L23,$M$80)+IF($M$80-$L23&gt;0,$E$23*($M$80-$L23))+('Incremental Rev Req'!$F$87*$M$80)</f>
        <v>190.13773982081275</v>
      </c>
      <c r="S84" s="159">
        <f>$F$15+$E$25*MIN($M23,$M$80)+IF($M$80-$M23&gt;0,$E$26*($M$80-$M23))+('Incremental Rev Req'!$F$87*$M$80)</f>
        <v>190.13773982081275</v>
      </c>
      <c r="T84" s="159">
        <f>$F$15+$F$22*MIN($L23,$M$80)+IF($M$80-$L23&gt;0,$F$23*($M$80-$L23))+('Incremental Rev Req'!$F$87*$M$80)</f>
        <v>196.60208538551225</v>
      </c>
      <c r="U84" s="159">
        <f>$F$15+$F$25*MIN($M23,$M$80)+IF($M$80-$M23&gt;0,$F$26*($M$80-$M23))+('Incremental Rev Req'!$F$87*$M$80)</f>
        <v>196.60208538551225</v>
      </c>
    </row>
    <row r="85" spans="2:21">
      <c r="B85" s="141" t="s">
        <v>226</v>
      </c>
      <c r="C85" s="159">
        <f>$C$22*MIN(I24,$B$80)+IF($B$80-I24&gt;0,$C$23*($B$80-I24))+('Incremental Rev Req'!$F$87*$B$80)</f>
        <v>170.3833244629304</v>
      </c>
      <c r="D85" s="159">
        <f>$C$25*MIN(J24,$B$80)+IF($B$80-J24&gt;0,$C$26*($B$80-J24))+('Incremental Rev Req'!$F$87*$B$80)</f>
        <v>170.3833244629304</v>
      </c>
      <c r="E85" s="159">
        <f>$F$15+$D$22*MIN(I24,$B$80)+IF($B$80-I24&gt;0,$D$23*($B$80-I24))+('Incremental Rev Req'!$F$87*$B$80)</f>
        <v>173.71023615990714</v>
      </c>
      <c r="F85" s="159">
        <f>$F$15+$D$25*MIN(J24,$B$80)+IF($B$80-J24&gt;0,$D$26*($B$80-J24))+('Incremental Rev Req'!$F$87*$B$80)</f>
        <v>173.71023615990714</v>
      </c>
      <c r="G85" s="159">
        <f>$F$15+$E$22*MIN(I24,$B$80)+IF($B$80-I24&gt;0,$E$23*($B$80-I24))+('Incremental Rev Req'!$F$87*$B$80)</f>
        <v>190.13773982081275</v>
      </c>
      <c r="H85" s="159">
        <f>$F$15+$E$25*MIN(J24,$B$80)+IF($B$80-J24&gt;0,$E$26*($B$80-J24))+('Incremental Rev Req'!$F$87*$B$80)</f>
        <v>190.13773982081275</v>
      </c>
      <c r="I85" s="159">
        <f>$F$15+$F$22*MIN(I24,$B$80)+IF($B$80-I24&gt;0,$F$23*($B$80-I24))+('Incremental Rev Req'!$F$87*$B$80)</f>
        <v>196.60208538551225</v>
      </c>
      <c r="J85" s="159">
        <f>$F$15+$F$25*MIN(J24,$B$80)+IF($B$80-J24&gt;0,$F$26*($B$80-J24))+('Incremental Rev Req'!$F$87*$B$80)</f>
        <v>196.60208538551225</v>
      </c>
      <c r="M85" s="141" t="s">
        <v>226</v>
      </c>
      <c r="N85" s="159">
        <f>$C$22*MIN($L24,$M$80)+IF($M$80-$L24&gt;0,$C$23*($M$80-$L24))+('Incremental Rev Req'!$F$87*$M$80)</f>
        <v>170.3833244629304</v>
      </c>
      <c r="O85" s="159">
        <f>$C$25*MIN($M24,$M$80)+IF($M$80-$M24&gt;0,$C$26*($M$80-$M24))+('Incremental Rev Req'!$F$87*$M$80)</f>
        <v>170.3833244629304</v>
      </c>
      <c r="P85" s="159">
        <f>$F$15+$D$22*MIN($L24,$M$80)+IF($M$80-$L24&gt;0,$D$23*($M$80-$L24))+('Incremental Rev Req'!$F$87*$M$80)</f>
        <v>173.71023615990714</v>
      </c>
      <c r="Q85" s="159">
        <f>$F$15+$D$25*MIN($M24,$M$80)+IF($M$80-$M24&gt;0,$D$26*($M$80-$M24))+('Incremental Rev Req'!$F$87*$M$80)</f>
        <v>173.71023615990714</v>
      </c>
      <c r="R85" s="159">
        <f>$F$15+$E$22*MIN($L24,$M$80)+IF($M$80-$L24&gt;0,$E$23*($M$80-$L24))+('Incremental Rev Req'!$F$87*$M$80)</f>
        <v>190.13773982081275</v>
      </c>
      <c r="S85" s="159">
        <f>$F$15+$E$25*MIN($M24,$M$80)+IF($M$80-$M24&gt;0,$E$26*($M$80-$M24))+('Incremental Rev Req'!$F$87*$M$80)</f>
        <v>190.13773982081275</v>
      </c>
      <c r="T85" s="159">
        <f>$F$15+$F$22*MIN($L24,$M$80)+IF($M$80-$L24&gt;0,$F$23*($M$80-$L24))+('Incremental Rev Req'!$F$87*$M$80)</f>
        <v>196.60208538551225</v>
      </c>
      <c r="U85" s="159">
        <f>$F$15+$F$25*MIN($M24,$M$80)+IF($M$80-$M24&gt;0,$F$26*($M$80-$M24))+('Incremental Rev Req'!$F$87*$M$80)</f>
        <v>196.60208538551225</v>
      </c>
    </row>
    <row r="86" spans="2:21">
      <c r="B86" s="144" t="s">
        <v>228</v>
      </c>
      <c r="C86" s="159">
        <f>$C$22*MIN(I25,$B$80)+IF($B$80-I25&gt;0,$C$23*($B$80-I25))+('Incremental Rev Req'!$F$87*$B$80)</f>
        <v>170.3833244629304</v>
      </c>
      <c r="D86" s="159">
        <f>$C$25*MIN(J25,$B$80)+IF($B$80-J25&gt;0,$C$26*($B$80-J25))+('Incremental Rev Req'!$F$87*$B$80)</f>
        <v>173.24771465113361</v>
      </c>
      <c r="E86" s="159">
        <f>$F$15+$D$22*MIN(I25,$B$80)+IF($B$80-I25&gt;0,$D$23*($B$80-I25))+('Incremental Rev Req'!$F$87*$B$80)</f>
        <v>173.71023615990714</v>
      </c>
      <c r="F86" s="159">
        <f>$F$15+$D$25*MIN(J25,$B$80)+IF($B$80-J25&gt;0,$D$26*($B$80-J25))+('Incremental Rev Req'!$F$87*$B$80)</f>
        <v>176.22974763793476</v>
      </c>
      <c r="G86" s="159">
        <f>$F$15+$E$22*MIN(I25,$B$80)+IF($B$80-I25&gt;0,$E$23*($B$80-I25))+('Incremental Rev Req'!$F$87*$B$80)</f>
        <v>190.13773982081275</v>
      </c>
      <c r="H86" s="159">
        <f>$F$15+$E$25*MIN(J25,$B$80)+IF($B$80-J25&gt;0,$E$26*($B$80-J25))+('Incremental Rev Req'!$F$87*$B$80)</f>
        <v>192.9339410580908</v>
      </c>
      <c r="I86" s="159">
        <f>$F$15+$F$22*MIN(I25,$B$80)+IF($B$80-I25&gt;0,$F$23*($B$80-I25))+('Incremental Rev Req'!$F$87*$B$80)</f>
        <v>196.60208538551225</v>
      </c>
      <c r="J86" s="159">
        <f>$F$15+$F$25*MIN(J25,$B$80)+IF($B$80-J25&gt;0,$F$26*($B$80-J25))+('Incremental Rev Req'!$F$87*$B$80)</f>
        <v>199.5071661126342</v>
      </c>
      <c r="M86" s="144" t="s">
        <v>228</v>
      </c>
      <c r="N86" s="159">
        <f>$C$22*MIN($L25,$M$80)+IF($M$80-$L25&gt;0,$C$23*($M$80-$L25))+('Incremental Rev Req'!$F$87*$M$80)</f>
        <v>176.88328681308383</v>
      </c>
      <c r="O86" s="159">
        <f>$C$25*MIN($M25,$M$80)+IF($M$80-$M25&gt;0,$C$26*($M$80-$M25))+('Incremental Rev Req'!$F$87*$M$80)</f>
        <v>170.3833244629304</v>
      </c>
      <c r="P86" s="159">
        <f>$F$15+$D$22*MIN($L25,$M$80)+IF($M$80-$L25&gt;0,$D$23*($M$80-$L25))+('Incremental Rev Req'!$F$87*$M$80)</f>
        <v>179.42758912927758</v>
      </c>
      <c r="Q86" s="159">
        <f>$F$15+$D$25*MIN($M25,$M$80)+IF($M$80-$M25&gt;0,$D$26*($M$80-$M25))+('Incremental Rev Req'!$F$87*$M$80)</f>
        <v>173.71023615990714</v>
      </c>
      <c r="R86" s="159">
        <f>$F$15+$E$22*MIN($L25,$M$80)+IF($M$80-$L25&gt;0,$E$23*($M$80-$L25))+('Incremental Rev Req'!$F$87*$M$80)</f>
        <v>196.48296570540523</v>
      </c>
      <c r="S86" s="159">
        <f>$F$15+$E$25*MIN($M25,$M$80)+IF($M$80-$M25&gt;0,$E$26*($M$80-$M25))+('Incremental Rev Req'!$F$87*$M$80)</f>
        <v>190.13773982081275</v>
      </c>
      <c r="T86" s="159">
        <f>$F$15+$F$22*MIN($L25,$M$80)+IF($M$80-$L25&gt;0,$F$23*($M$80-$L25))+('Incremental Rev Req'!$F$87*$M$80)</f>
        <v>203.19438395859663</v>
      </c>
      <c r="U86" s="159">
        <f>$F$15+$F$25*MIN($M25,$M$80)+IF($M$80-$M25&gt;0,$F$26*($M$80-$M25))+('Incremental Rev Req'!$F$87*$M$80)</f>
        <v>196.60208538551225</v>
      </c>
    </row>
    <row r="87" spans="2:21">
      <c r="B87" s="6" t="s">
        <v>113</v>
      </c>
      <c r="C87" s="157">
        <f>SUMPRODUCT(C83:C86,$U$22:$U$25)</f>
        <v>173.5931140906192</v>
      </c>
      <c r="D87" s="157">
        <f t="shared" ref="D87:J87" si="16">SUMPRODUCT(D83:D86,$U$22:$U$25)</f>
        <v>174.20282607133186</v>
      </c>
      <c r="E87" s="157">
        <f>SUMPRODUCT(E83:E86,$U$22:$U$25)</f>
        <v>176.53356024554401</v>
      </c>
      <c r="F87" s="157">
        <f t="shared" si="16"/>
        <v>177.06986159862885</v>
      </c>
      <c r="G87" s="157">
        <f t="shared" si="16"/>
        <v>193.27111800556895</v>
      </c>
      <c r="H87" s="157">
        <f t="shared" si="16"/>
        <v>193.86631533653082</v>
      </c>
      <c r="I87" s="157">
        <f t="shared" si="16"/>
        <v>199.85747217740874</v>
      </c>
      <c r="J87" s="157">
        <f t="shared" si="16"/>
        <v>200.47584551619423</v>
      </c>
      <c r="M87" s="6" t="s">
        <v>113</v>
      </c>
      <c r="N87" s="157">
        <f>SUMPRODUCT(N83:N86,$U$31:$U$34)</f>
        <v>183.5633556263403</v>
      </c>
      <c r="O87" s="157">
        <f t="shared" ref="O87:U87" si="17">SUMPRODUCT(O83:O86,$U$31:$U$34)</f>
        <v>174.07040763257908</v>
      </c>
      <c r="P87" s="157">
        <f t="shared" si="17"/>
        <v>185.30336335805737</v>
      </c>
      <c r="Q87" s="157">
        <f t="shared" si="17"/>
        <v>176.95338662335692</v>
      </c>
      <c r="R87" s="157">
        <f t="shared" si="17"/>
        <v>203.00401048403128</v>
      </c>
      <c r="S87" s="157">
        <f t="shared" si="17"/>
        <v>193.73704921775837</v>
      </c>
      <c r="T87" s="157">
        <f t="shared" si="17"/>
        <v>209.96934752506971</v>
      </c>
      <c r="U87" s="157">
        <f t="shared" si="17"/>
        <v>200.34154598677935</v>
      </c>
    </row>
    <row r="88" spans="2:21">
      <c r="B88" s="7"/>
      <c r="C88" s="143"/>
      <c r="D88" s="143"/>
      <c r="E88" s="158"/>
      <c r="F88" s="146"/>
      <c r="G88" s="147"/>
      <c r="H88" s="147"/>
      <c r="I88" s="147"/>
      <c r="J88" s="147"/>
      <c r="M88" s="7"/>
      <c r="N88" s="143"/>
      <c r="O88" s="143"/>
      <c r="P88" s="158"/>
      <c r="Q88" s="146"/>
      <c r="R88" s="147"/>
      <c r="S88" s="147"/>
      <c r="T88" s="147"/>
      <c r="U88" s="147"/>
    </row>
    <row r="89" spans="2:21" ht="15" thickBot="1">
      <c r="B89" s="7"/>
      <c r="C89" s="143"/>
      <c r="D89" s="143"/>
      <c r="E89" s="229"/>
      <c r="F89" s="143"/>
      <c r="G89" s="147"/>
      <c r="H89" s="147"/>
      <c r="I89" s="147"/>
      <c r="J89" s="147"/>
      <c r="M89" s="7"/>
      <c r="N89" s="143"/>
      <c r="O89" s="143"/>
      <c r="P89" s="229"/>
      <c r="Q89" s="143"/>
      <c r="R89" s="147"/>
      <c r="S89" s="147"/>
      <c r="T89" s="147"/>
      <c r="U89" s="147"/>
    </row>
    <row r="90" spans="2:21" ht="15" thickBot="1">
      <c r="B90" s="654">
        <f>IF(Summary!$I$9="",400,Summary!$I$9)</f>
        <v>400</v>
      </c>
      <c r="C90" s="655" t="str">
        <f>$B$90&amp;" kWh Monthly Basic Bundled CARE Customer"</f>
        <v>400 kWh Monthly Basic Bundled CARE Customer</v>
      </c>
      <c r="D90" s="655"/>
      <c r="E90" s="655"/>
      <c r="F90" s="655"/>
      <c r="G90" s="655"/>
      <c r="H90" s="655"/>
      <c r="I90" s="655"/>
      <c r="J90" s="655"/>
      <c r="K90" s="643"/>
      <c r="L90" s="643"/>
      <c r="M90" s="654">
        <f>IF(Summary!$I$9="",400,Summary!$I$9)</f>
        <v>400</v>
      </c>
      <c r="N90" s="655" t="str">
        <f>$M$90&amp;" kWh Monthly All-Electric Bundled CARE Customer"</f>
        <v>400 kWh Monthly All-Electric Bundled CARE Customer</v>
      </c>
      <c r="O90" s="655"/>
      <c r="P90" s="655"/>
      <c r="Q90" s="655"/>
      <c r="R90" s="655"/>
      <c r="S90" s="655"/>
      <c r="T90" s="655"/>
      <c r="U90" s="655"/>
    </row>
    <row r="91" spans="2:21">
      <c r="B91" s="7"/>
      <c r="C91" s="585" t="str">
        <f>C81</f>
        <v>6/1/2025</v>
      </c>
      <c r="D91" s="585"/>
      <c r="E91" s="586" t="str">
        <f>E81</f>
        <v>10/1/25</v>
      </c>
      <c r="F91" s="585"/>
      <c r="G91" s="585" t="str">
        <f>G81</f>
        <v>Authorized</v>
      </c>
      <c r="H91" s="585"/>
      <c r="I91" s="586" t="str">
        <f>I81</f>
        <v>w/Pending</v>
      </c>
      <c r="J91" s="585"/>
      <c r="M91" s="7"/>
      <c r="N91" s="585" t="str">
        <f>N81</f>
        <v>6/1/2025</v>
      </c>
      <c r="O91" s="585"/>
      <c r="P91" s="586" t="str">
        <f>P81</f>
        <v>10/1/25</v>
      </c>
      <c r="Q91" s="585"/>
      <c r="R91" s="585" t="str">
        <f>R81</f>
        <v>Authorized</v>
      </c>
      <c r="S91" s="585"/>
      <c r="T91" s="586" t="str">
        <f>T81</f>
        <v>w/Pending</v>
      </c>
      <c r="U91" s="585"/>
    </row>
    <row r="92" spans="2:21">
      <c r="B92" s="7"/>
      <c r="C92" s="143" t="s">
        <v>196</v>
      </c>
      <c r="D92" s="143" t="s">
        <v>197</v>
      </c>
      <c r="E92" s="143" t="s">
        <v>196</v>
      </c>
      <c r="F92" s="143" t="s">
        <v>197</v>
      </c>
      <c r="G92" s="143" t="s">
        <v>196</v>
      </c>
      <c r="H92" s="143" t="s">
        <v>197</v>
      </c>
      <c r="I92" s="143" t="s">
        <v>196</v>
      </c>
      <c r="J92" s="143" t="s">
        <v>197</v>
      </c>
      <c r="M92" s="7"/>
      <c r="N92" s="143" t="s">
        <v>196</v>
      </c>
      <c r="O92" s="143" t="s">
        <v>197</v>
      </c>
      <c r="P92" s="143" t="s">
        <v>196</v>
      </c>
      <c r="Q92" s="143" t="s">
        <v>197</v>
      </c>
      <c r="R92" s="143" t="s">
        <v>196</v>
      </c>
      <c r="S92" s="143" t="s">
        <v>197</v>
      </c>
      <c r="T92" s="143" t="s">
        <v>196</v>
      </c>
      <c r="U92" s="143" t="s">
        <v>197</v>
      </c>
    </row>
    <row r="93" spans="2:21">
      <c r="B93" s="138" t="s">
        <v>227</v>
      </c>
      <c r="C93" s="159">
        <f>$C$31*MIN(I22,$B$90)+IF($B$90-I22&gt;0,$C$32*($B$90-I22))+('Incremental Rev Req'!$F$87*$B$90)</f>
        <v>109.62488999999999</v>
      </c>
      <c r="D93" s="159">
        <f>$C$34*MIN(J22,$B$90)+IF($B$90-J22&gt;0,$C$35*($B$90-J22))+('Incremental Rev Req'!$F$87*$B$90)</f>
        <v>109.05201</v>
      </c>
      <c r="E93" s="159">
        <f>$Q$15+$D$31*MIN(I22,$B$90)+IF($B$90-I22&gt;0,$D$32*($B$90-I22))+('Incremental Rev Req'!$F$87*$B$90)</f>
        <v>105.00411</v>
      </c>
      <c r="F93" s="159">
        <f>$Q$15+$D$34*MIN(J22,$B$90)+IF($B$90-J22&gt;0,$D$35*($B$90-J22))+('Incremental Rev Req'!$F$87*$B$90)</f>
        <v>104.50019</v>
      </c>
      <c r="G93" s="159">
        <f>$Q$15+$E$31*MIN(I22,$B$90)+IF($B$90-I22&gt;0,$E$32*($B$90-I22))+('Incremental Rev Req'!$F$87*$B$90)</f>
        <v>115.85097014382944</v>
      </c>
      <c r="H93" s="159">
        <f>$Q$15+$E$34*MIN(J22,$B$90)+IF($B$90-J22&gt;0,$E$35*($B$90-J22))+('Incremental Rev Req'!$F$87*$B$90)</f>
        <v>115.2917102477038</v>
      </c>
      <c r="I93" s="159">
        <f>$Q$15+$F$31*MIN(I22,$B$90)+IF($B$90-I22&gt;0,$F$32*($B$90-I22))+('Incremental Rev Req'!$F$87*$B$90)</f>
        <v>120.11929074256699</v>
      </c>
      <c r="J93" s="159">
        <f>$Q$15+$F$34*MIN(J22,$B$90)+IF($B$90-J22&gt;0,$F$35*($B$90-J22))+('Incremental Rev Req'!$F$87*$B$90)</f>
        <v>119.53825418338556</v>
      </c>
      <c r="M93" s="138" t="s">
        <v>227</v>
      </c>
      <c r="N93" s="159">
        <f>$C$31*MIN($L22,$M$90)+IF($M$90-$L22&gt;0,$C$32*($M$90-$L22))+('Incremental Rev Req'!$F$87*$M$90)</f>
        <v>117.93164999999999</v>
      </c>
      <c r="O93" s="159">
        <f>$C$34*MIN($M22,$M$90)+IF($M$90-$M22&gt;0,$C$35*($M$90-$M22))+('Incremental Rev Req'!$F$87*$M$90)</f>
        <v>110.19777000000001</v>
      </c>
      <c r="P93" s="159">
        <f>$Q$15+$D$31*MIN($L22,$B$90)+IF($B$90-$L22&gt;0,$D$32*($B$90-$L22))+('Incremental Rev Req'!$F$87*$B$90)</f>
        <v>112.31095000000001</v>
      </c>
      <c r="Q93" s="159">
        <f>$Q$15+$D$34*MIN($M22,$B$90)+IF($B$90-$M22&gt;0,$D$35*($B$90-$M22))+('Incremental Rev Req'!$F$87*$B$90)</f>
        <v>105.50802999999999</v>
      </c>
      <c r="R93" s="159">
        <f>$Q$15+$E$31*MIN($L22,$B$90)+IF($B$90-$L22&gt;0,$E$32*($B$90-$L22))+('Incremental Rev Req'!$F$87*$B$90)</f>
        <v>123.96023863765154</v>
      </c>
      <c r="S93" s="159">
        <f>$Q$15+$E$34*MIN($M22,$B$90)+IF($B$90-$M22&gt;0,$E$35*($B$90-$M22))+('Incremental Rev Req'!$F$87*$B$90)</f>
        <v>116.41023003995511</v>
      </c>
      <c r="T93" s="159">
        <f>$Q$15+$F$31*MIN(L22,$B$90)+IF($B$90-L22&gt;0,$F$32*($B$90-L22))+('Incremental Rev Req'!$F$87*$B$90)</f>
        <v>128.5443208506976</v>
      </c>
      <c r="U93" s="159">
        <f>$Q$15+$F$34*MIN($M22,$B$90)+IF($B$90-$M22&gt;0,$F$35*($B$90-$M22))+('Incremental Rev Req'!$F$87*$B$90)</f>
        <v>120.7003273017484</v>
      </c>
    </row>
    <row r="94" spans="2:21">
      <c r="B94" s="141" t="s">
        <v>229</v>
      </c>
      <c r="C94" s="159">
        <f>$C$31*MIN(I23,$B$90)+IF($B$90-I23&gt;0,$C$32*($B$90-I23))+('Incremental Rev Req'!$F$87*$B$90)</f>
        <v>106.116</v>
      </c>
      <c r="D94" s="159">
        <f>$C$34*MIN(J23,$B$90)+IF($B$90-J23&gt;0,$C$35*($B$90-J23))+('Incremental Rev Req'!$F$87*$B$90)</f>
        <v>106.116</v>
      </c>
      <c r="E94" s="159">
        <f>$Q$15+$D$31*MIN(I23,$B$90)+IF($B$90-I23&gt;0,$D$32*($B$90-I23))+('Incremental Rev Req'!$F$87*$B$90)</f>
        <v>101.91759999999999</v>
      </c>
      <c r="F94" s="159">
        <f>$Q$15+$D$34*MIN(J23,$B$90)+IF($B$90-J23&gt;0,$D$35*($B$90-J23))+('Incremental Rev Req'!$F$87*$B$90)</f>
        <v>101.91759999999999</v>
      </c>
      <c r="G94" s="159">
        <f>$Q$15+$E$31*MIN(I23,$B$90)+IF($B$90-I23&gt;0,$E$32*($B$90-I23))+('Incremental Rev Req'!$F$87*$B$90)</f>
        <v>112.42550328005979</v>
      </c>
      <c r="H94" s="159">
        <f>$Q$15+$E$34*MIN(J23,$B$90)+IF($B$90-J23&gt;0,$E$35*($B$90-J23))+('Incremental Rev Req'!$F$87*$B$90)</f>
        <v>112.42550328005979</v>
      </c>
      <c r="I94" s="159">
        <f>$Q$15+$F$31*MIN(I23,$B$90)+IF($B$90-I23&gt;0,$F$32*($B$90-I23))+('Incremental Rev Req'!$F$87*$B$90)</f>
        <v>116.56044181758077</v>
      </c>
      <c r="J94" s="159">
        <f>$Q$15+$F$34*MIN(J23,$B$90)+IF($B$90-J23&gt;0,$F$35*($B$90-J23))+('Incremental Rev Req'!$F$87*$B$90)</f>
        <v>116.56044181758077</v>
      </c>
      <c r="M94" s="141" t="s">
        <v>229</v>
      </c>
      <c r="N94" s="159">
        <f>$C$31*MIN($L23,$M$90)+IF($M$90-$L23&gt;0,$C$32*($M$90-$L23))+('Incremental Rev Req'!$F$87*$M$90)</f>
        <v>106.116</v>
      </c>
      <c r="O94" s="159">
        <f>$C$34*MIN($M23,$M$90)+IF($M$90-$M23&gt;0,$C$35*($M$90-$M23))+('Incremental Rev Req'!$F$87*$M$90)</f>
        <v>106.116</v>
      </c>
      <c r="P94" s="159">
        <f>$Q$15+$D$31*MIN($L23,$B$90)+IF($B$90-$L23&gt;0,$D$32*($B$90-$L23))+('Incremental Rev Req'!$F$87*$B$90)</f>
        <v>101.91759999999999</v>
      </c>
      <c r="Q94" s="159">
        <f>$Q$15+$D$34*MIN($M23,$B$90)+IF($B$90-$M23&gt;0,$D$35*($B$90-$M23))+('Incremental Rev Req'!$F$87*$B$90)</f>
        <v>101.91759999999999</v>
      </c>
      <c r="R94" s="159">
        <f>$Q$15+$E$31*MIN($L23,$B$90)+IF($B$90-$L23&gt;0,$E$32*($B$90-$L23))+('Incremental Rev Req'!$F$87*$B$90)</f>
        <v>112.42550328005979</v>
      </c>
      <c r="S94" s="159">
        <f>$Q$15+$E$34*MIN($M23,$B$90)+IF($B$90-$M23&gt;0,$E$35*($B$90-$M23))+('Incremental Rev Req'!$F$87*$B$90)</f>
        <v>112.42550328005979</v>
      </c>
      <c r="T94" s="159">
        <f>$Q$15+$F$31*MIN(L23,$B$90)+IF($B$90-L23&gt;0,$F$32*($B$90-L23))+('Incremental Rev Req'!$F$87*$B$90)</f>
        <v>116.56044181758077</v>
      </c>
      <c r="U94" s="159">
        <f>$Q$15+$F$34*MIN($M23,$B$90)+IF($B$90-$M23&gt;0,$F$35*($B$90-$M23))+('Incremental Rev Req'!$F$87*$B$90)</f>
        <v>116.56044181758077</v>
      </c>
    </row>
    <row r="95" spans="2:21">
      <c r="B95" s="141" t="s">
        <v>226</v>
      </c>
      <c r="C95" s="159">
        <f>$C$31*MIN(I24,$B$90)+IF($B$90-I24&gt;0,$C$32*($B$90-I24))+('Incremental Rev Req'!$F$87*$B$90)</f>
        <v>106.116</v>
      </c>
      <c r="D95" s="159">
        <f>$C$34*MIN(J24,$B$90)+IF($B$90-J24&gt;0,$C$35*($B$90-J24))+('Incremental Rev Req'!$F$87*$B$90)</f>
        <v>106.116</v>
      </c>
      <c r="E95" s="159">
        <f>$Q$15+$D$31*MIN(I24,$B$90)+IF($B$90-I24&gt;0,$D$32*($B$90-I24))+('Incremental Rev Req'!$F$87*$B$90)</f>
        <v>101.91759999999999</v>
      </c>
      <c r="F95" s="159">
        <f>$Q$15+$D$34*MIN(J24,$B$90)+IF($B$90-J24&gt;0,$D$35*($B$90-J24))+('Incremental Rev Req'!$F$87*$B$90)</f>
        <v>101.91759999999999</v>
      </c>
      <c r="G95" s="159">
        <f>$Q$15+$E$31*MIN(I24,$B$90)+IF($B$90-I24&gt;0,$E$32*($B$90-I24))+('Incremental Rev Req'!$F$87*$B$90)</f>
        <v>112.42550328005979</v>
      </c>
      <c r="H95" s="159">
        <f>$Q$15+$E$34*MIN(J24,$B$90)+IF($B$90-J24&gt;0,$E$35*($B$90-J24))+('Incremental Rev Req'!$F$87*$B$90)</f>
        <v>112.42550328005979</v>
      </c>
      <c r="I95" s="159">
        <f>$Q$15+$F$31*MIN(I24,$B$90)+IF($B$90-I24&gt;0,$F$32*($B$90-I24))+('Incremental Rev Req'!$F$87*$B$90)</f>
        <v>116.56044181758077</v>
      </c>
      <c r="J95" s="159">
        <f>$Q$15+$F$34*MIN(J24,$B$90)+IF($B$90-J24&gt;0,$F$35*($B$90-J24))+('Incremental Rev Req'!$F$87*$B$90)</f>
        <v>116.56044181758077</v>
      </c>
      <c r="M95" s="141" t="s">
        <v>226</v>
      </c>
      <c r="N95" s="159">
        <f>$C$31*MIN($L24,$M$90)+IF($M$90-$L24&gt;0,$C$32*($M$90-$L24))+('Incremental Rev Req'!$F$87*$M$90)</f>
        <v>106.116</v>
      </c>
      <c r="O95" s="159">
        <f>$C$34*MIN($M24,$M$90)+IF($M$90-$M24&gt;0,$C$35*($M$90-$M24))+('Incremental Rev Req'!$F$87*$M$90)</f>
        <v>106.116</v>
      </c>
      <c r="P95" s="159">
        <f>$Q$15+$D$31*MIN($L24,$B$90)+IF($B$90-$L24&gt;0,$D$32*($B$90-$L24))+('Incremental Rev Req'!$F$87*$B$90)</f>
        <v>101.91759999999999</v>
      </c>
      <c r="Q95" s="159">
        <f>$Q$15+$D$34*MIN($M24,$B$90)+IF($B$90-$M24&gt;0,$D$35*($B$90-$M24))+('Incremental Rev Req'!$F$87*$B$90)</f>
        <v>101.91759999999999</v>
      </c>
      <c r="R95" s="159">
        <f>$Q$15+$E$31*MIN($L24,$B$90)+IF($B$90-$L24&gt;0,$E$32*($B$90-$L24))+('Incremental Rev Req'!$F$87*$B$90)</f>
        <v>112.42550328005979</v>
      </c>
      <c r="S95" s="159">
        <f>$Q$15+$E$34*MIN($M24,$B$90)+IF($B$90-$M24&gt;0,$E$35*($B$90-$M24))+('Incremental Rev Req'!$F$87*$B$90)</f>
        <v>112.42550328005979</v>
      </c>
      <c r="T95" s="159">
        <f>$Q$15+$F$31*MIN(L24,$B$90)+IF($B$90-L24&gt;0,$F$32*($B$90-L24))+('Incremental Rev Req'!$F$87*$B$90)</f>
        <v>116.56044181758077</v>
      </c>
      <c r="U95" s="159">
        <f>$Q$15+$F$34*MIN($M24,$B$90)+IF($B$90-$M24&gt;0,$F$35*($B$90-$M24))+('Incremental Rev Req'!$F$87*$B$90)</f>
        <v>116.56044181758077</v>
      </c>
    </row>
    <row r="96" spans="2:21">
      <c r="B96" s="144" t="s">
        <v>228</v>
      </c>
      <c r="C96" s="159">
        <f>$C$31*MIN(I25,$B$90)+IF($B$90-I25&gt;0,$C$32*($B$90-I25))+('Incremental Rev Req'!$F$87*$B$90)</f>
        <v>106.116</v>
      </c>
      <c r="D96" s="159">
        <f>$C$34*MIN(J25,$B$90)+IF($B$90-J25&gt;0,$C$35*($B$90-J25))+('Incremental Rev Req'!$F$87*$B$90)</f>
        <v>107.97785999999999</v>
      </c>
      <c r="E96" s="159">
        <f>$Q$15+$D$31*MIN(I25,$B$90)+IF($B$90-I25&gt;0,$D$32*($B$90-I25))+('Incremental Rev Req'!$F$87*$B$90)</f>
        <v>101.91759999999999</v>
      </c>
      <c r="F96" s="159">
        <f>$Q$15+$D$34*MIN(J25,$B$90)+IF($B$90-J25&gt;0,$D$35*($B$90-J25))+('Incremental Rev Req'!$F$87*$B$90)</f>
        <v>103.55534</v>
      </c>
      <c r="G96" s="159">
        <f>$Q$15+$E$31*MIN(I25,$B$90)+IF($B$90-I25&gt;0,$E$32*($B$90-I25))+('Incremental Rev Req'!$F$87*$B$90)</f>
        <v>112.42550328005979</v>
      </c>
      <c r="H96" s="159">
        <f>$Q$15+$E$34*MIN(J25,$B$90)+IF($B$90-J25&gt;0,$E$35*($B$90-J25))+('Incremental Rev Req'!$F$87*$B$90)</f>
        <v>114.24309794246818</v>
      </c>
      <c r="I96" s="159">
        <f>$Q$15+$F$31*MIN(I25,$B$90)+IF($B$90-I25&gt;0,$F$32*($B$90-I25))+('Incremental Rev Req'!$F$87*$B$90)</f>
        <v>116.56044181758077</v>
      </c>
      <c r="J96" s="159">
        <f>$Q$15+$F$34*MIN(J25,$B$90)+IF($B$90-J25&gt;0,$F$35*($B$90-J25))+('Incremental Rev Req'!$F$87*$B$90)</f>
        <v>118.44881063492038</v>
      </c>
      <c r="M96" s="144" t="s">
        <v>228</v>
      </c>
      <c r="N96" s="159">
        <f>$C$31*MIN($L25,$M$90)+IF($M$90-$L25&gt;0,$C$32*($M$90-$L25))+('Incremental Rev Req'!$F$87*$M$90)</f>
        <v>110.34099000000001</v>
      </c>
      <c r="O96" s="159">
        <f>$C$34*MIN($M25,$M$90)+IF($M$90-$M25&gt;0,$C$35*($M$90-$M25))+('Incremental Rev Req'!$F$87*$M$90)</f>
        <v>106.116</v>
      </c>
      <c r="P96" s="159">
        <f>$Q$15+$D$31*MIN($L25,$B$90)+IF($B$90-$L25&gt;0,$D$32*($B$90-$L25))+('Incremental Rev Req'!$F$87*$B$90)</f>
        <v>105.63401</v>
      </c>
      <c r="Q96" s="159">
        <f>$Q$15+$D$34*MIN($M25,$B$90)+IF($B$90-$M25&gt;0,$D$35*($B$90-$M25))+('Incremental Rev Req'!$F$87*$B$90)</f>
        <v>101.91759999999999</v>
      </c>
      <c r="R96" s="159">
        <f>$Q$15+$E$31*MIN($L25,$B$90)+IF($B$90-$L25&gt;0,$E$32*($B$90-$L25))+('Incremental Rev Req'!$F$87*$B$90)</f>
        <v>116.55004501398653</v>
      </c>
      <c r="S96" s="159">
        <f>$Q$15+$E$34*MIN($M25,$B$90)+IF($B$90-$M25&gt;0,$E$35*($B$90-$M25))+('Incremental Rev Req'!$F$87*$B$90)</f>
        <v>112.42550328005979</v>
      </c>
      <c r="T96" s="159">
        <f>$Q$15+$F$31*MIN(L25,$B$90)+IF($B$90-L25&gt;0,$F$32*($B$90-L25))+('Incremental Rev Req'!$F$87*$B$90)</f>
        <v>120.84558644154377</v>
      </c>
      <c r="U96" s="159">
        <f>$Q$15+$F$34*MIN($M25,$B$90)+IF($B$90-$M25&gt;0,$F$35*($B$90-$M25))+('Incremental Rev Req'!$F$87*$B$90)</f>
        <v>116.56044181758077</v>
      </c>
    </row>
    <row r="97" spans="2:21">
      <c r="B97" s="6" t="s">
        <v>113</v>
      </c>
      <c r="C97" s="157">
        <f>SUMPRODUCT(C93:C96,$V$22:$V$25)</f>
        <v>107.88143513694635</v>
      </c>
      <c r="D97" s="157">
        <f t="shared" ref="D97:J97" si="18">SUMPRODUCT(D93:D96,$V$22:$V$25)</f>
        <v>108.50022692740714</v>
      </c>
      <c r="E97" s="157">
        <f t="shared" si="18"/>
        <v>103.47052220746056</v>
      </c>
      <c r="F97" s="157">
        <f t="shared" si="18"/>
        <v>104.01482740060572</v>
      </c>
      <c r="G97" s="157">
        <f t="shared" si="18"/>
        <v>114.14896556065119</v>
      </c>
      <c r="H97" s="157">
        <f t="shared" si="18"/>
        <v>114.75304570388627</v>
      </c>
      <c r="I97" s="157">
        <f>SUMPRODUCT(I93:I96,$V$22:$V$25)</f>
        <v>118.35101289255161</v>
      </c>
      <c r="J97" s="157">
        <f t="shared" si="18"/>
        <v>118.97861492575061</v>
      </c>
      <c r="M97" s="6" t="s">
        <v>113</v>
      </c>
      <c r="N97" s="157">
        <f>SUMPRODUCT(N93:N96,$V$31:$V$34)</f>
        <v>113.64331879619772</v>
      </c>
      <c r="O97" s="157">
        <f t="shared" ref="O97:U97" si="19">SUMPRODUCT(O93:O96,$V$31:$V$34)</f>
        <v>107.93233222129278</v>
      </c>
      <c r="P97" s="157">
        <f t="shared" si="19"/>
        <v>108.53882344606194</v>
      </c>
      <c r="Q97" s="157">
        <f t="shared" si="19"/>
        <v>103.5152925934818</v>
      </c>
      <c r="R97" s="157">
        <f t="shared" si="19"/>
        <v>119.77386162398221</v>
      </c>
      <c r="S97" s="157">
        <f t="shared" si="19"/>
        <v>114.19865257731209</v>
      </c>
      <c r="T97" s="157">
        <f t="shared" si="19"/>
        <v>124.19493318262123</v>
      </c>
      <c r="U97" s="157">
        <f t="shared" si="19"/>
        <v>118.4026346401445</v>
      </c>
    </row>
  </sheetData>
  <mergeCells count="67">
    <mergeCell ref="N80:U80"/>
    <mergeCell ref="N81:O81"/>
    <mergeCell ref="P81:Q81"/>
    <mergeCell ref="R81:S81"/>
    <mergeCell ref="T81:U81"/>
    <mergeCell ref="N90:U90"/>
    <mergeCell ref="N91:O91"/>
    <mergeCell ref="P91:Q91"/>
    <mergeCell ref="R91:S91"/>
    <mergeCell ref="T91:U91"/>
    <mergeCell ref="R51:S51"/>
    <mergeCell ref="T51:U51"/>
    <mergeCell ref="R71:S71"/>
    <mergeCell ref="T71:U71"/>
    <mergeCell ref="N60:U60"/>
    <mergeCell ref="N61:O61"/>
    <mergeCell ref="P61:Q61"/>
    <mergeCell ref="R61:S61"/>
    <mergeCell ref="T61:U61"/>
    <mergeCell ref="N70:U70"/>
    <mergeCell ref="N71:O71"/>
    <mergeCell ref="P71:Q71"/>
    <mergeCell ref="N51:O51"/>
    <mergeCell ref="P51:Q51"/>
    <mergeCell ref="C90:J90"/>
    <mergeCell ref="C91:D91"/>
    <mergeCell ref="E91:F91"/>
    <mergeCell ref="G91:H91"/>
    <mergeCell ref="I91:J91"/>
    <mergeCell ref="C80:J80"/>
    <mergeCell ref="C81:D81"/>
    <mergeCell ref="E81:F81"/>
    <mergeCell ref="G81:H81"/>
    <mergeCell ref="I81:J81"/>
    <mergeCell ref="C70:J70"/>
    <mergeCell ref="C71:D71"/>
    <mergeCell ref="E71:F71"/>
    <mergeCell ref="G71:H71"/>
    <mergeCell ref="I71:J71"/>
    <mergeCell ref="I61:J61"/>
    <mergeCell ref="C51:D51"/>
    <mergeCell ref="E51:F51"/>
    <mergeCell ref="G51:H51"/>
    <mergeCell ref="I51:J51"/>
    <mergeCell ref="C60:J60"/>
    <mergeCell ref="C41:D41"/>
    <mergeCell ref="E41:F41"/>
    <mergeCell ref="G41:H41"/>
    <mergeCell ref="C61:D61"/>
    <mergeCell ref="E61:F61"/>
    <mergeCell ref="G61:H61"/>
    <mergeCell ref="I41:J41"/>
    <mergeCell ref="B2:D2"/>
    <mergeCell ref="E3:K3"/>
    <mergeCell ref="P3:V3"/>
    <mergeCell ref="C39:J39"/>
    <mergeCell ref="R41:S41"/>
    <mergeCell ref="T41:U41"/>
    <mergeCell ref="U20:V20"/>
    <mergeCell ref="Q21:R21"/>
    <mergeCell ref="S21:T21"/>
    <mergeCell ref="S30:T30"/>
    <mergeCell ref="U29:V29"/>
    <mergeCell ref="Q30:R30"/>
    <mergeCell ref="N39:U39"/>
    <mergeCell ref="N41:O41"/>
    <mergeCell ref="P41:Q4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9720-4F19-4227-95C9-1B60B672F29A}">
  <dimension ref="A1:AF84"/>
  <sheetViews>
    <sheetView zoomScale="80" zoomScaleNormal="80" workbookViewId="0"/>
  </sheetViews>
  <sheetFormatPr defaultColWidth="8.88671875" defaultRowHeight="14.4"/>
  <cols>
    <col min="1" max="1" width="3.5546875" style="6" customWidth="1"/>
    <col min="2" max="2" width="23.88671875" style="6" customWidth="1"/>
    <col min="3" max="3" width="19.44140625" style="6" customWidth="1"/>
    <col min="4" max="4" width="17.5546875" style="6" customWidth="1"/>
    <col min="5" max="6" width="16.33203125" style="6" customWidth="1"/>
    <col min="7" max="7" width="20.88671875" style="6" customWidth="1"/>
    <col min="8" max="8" width="16.5546875" style="6" customWidth="1"/>
    <col min="9" max="9" width="14.109375" style="6" customWidth="1"/>
    <col min="10" max="10" width="13.5546875" style="6" customWidth="1"/>
    <col min="11" max="11" width="15.109375" style="6" customWidth="1"/>
    <col min="12" max="12" width="14.88671875" style="6" customWidth="1"/>
    <col min="13" max="15" width="15.44140625" style="6" customWidth="1"/>
    <col min="16" max="16" width="13" style="6" customWidth="1"/>
    <col min="17" max="17" width="15.5546875" style="6" customWidth="1"/>
    <col min="18" max="18" width="17.5546875" style="6" customWidth="1"/>
    <col min="19" max="19" width="14.109375" style="6" customWidth="1"/>
    <col min="20" max="21" width="14" style="6" customWidth="1"/>
    <col min="22" max="22" width="15" style="6" customWidth="1"/>
    <col min="23" max="23" width="14.109375" style="6" customWidth="1"/>
    <col min="24" max="24" width="14.88671875" style="6" bestFit="1" customWidth="1"/>
    <col min="25" max="26" width="14.88671875" style="6" customWidth="1"/>
    <col min="27" max="27" width="19.44140625" style="6" customWidth="1"/>
    <col min="28" max="28" width="15.109375" style="6" bestFit="1" customWidth="1"/>
    <col min="29" max="32" width="11.88671875" style="6" customWidth="1"/>
    <col min="33" max="16384" width="8.88671875" style="6"/>
  </cols>
  <sheetData>
    <row r="1" spans="1:32" s="171" customFormat="1" ht="25.5" customHeight="1">
      <c r="A1" s="4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</row>
    <row r="2" spans="1:32" ht="15.6">
      <c r="B2" s="78"/>
      <c r="C2" s="563" t="s">
        <v>161</v>
      </c>
      <c r="D2" s="56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32">
      <c r="B3" s="79"/>
      <c r="C3" s="80" t="s">
        <v>158</v>
      </c>
      <c r="D3" s="80" t="s">
        <v>162</v>
      </c>
      <c r="S3" s="81"/>
      <c r="T3" s="81"/>
      <c r="U3" s="81"/>
      <c r="V3" s="81"/>
      <c r="W3" s="81"/>
      <c r="X3" s="81"/>
      <c r="Y3" s="81"/>
      <c r="Z3" s="81"/>
      <c r="AA3" s="81"/>
    </row>
    <row r="4" spans="1:32" ht="15.6">
      <c r="B4" s="240" t="s">
        <v>3</v>
      </c>
      <c r="C4" s="154">
        <f>INDEX('Incremental Rev Req'!$O$8:$T$23,MATCH(B4,'Incremental Rev Req'!$O$8:$O$23,0),MATCH(Summary!$D$2,'Incremental Rev Req'!$O$8:$T$8,0))</f>
        <v>630708.1540856926</v>
      </c>
      <c r="D4" s="154">
        <f>INDEX('Incremental Rev Req'!$O$89:$T$107,MATCH(B4,'Incremental Rev Req'!$O$89:$O$107,0),MATCH(Summary!$D$2,'Incremental Rev Req'!$O$89:$T$89,0))</f>
        <v>581846.13612410286</v>
      </c>
      <c r="H4" s="573" t="s">
        <v>163</v>
      </c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41"/>
      <c r="W4" s="41"/>
      <c r="X4" s="41"/>
      <c r="Y4" s="41"/>
      <c r="Z4" s="41"/>
      <c r="AA4" s="41"/>
      <c r="AB4" s="41"/>
      <c r="AC4" s="41"/>
      <c r="AD4" s="41"/>
    </row>
    <row r="5" spans="1:32" ht="25.2" customHeight="1">
      <c r="B5" s="240" t="s">
        <v>389</v>
      </c>
      <c r="C5" s="154">
        <f>INDEX('Incremental Rev Req'!$O$8:$T$23,MATCH(B5,'Incremental Rev Req'!$O$8:$O$23,0),MATCH(Summary!$D$2,'Incremental Rev Req'!$O$8:$T$8,0))</f>
        <v>80.182302790146849</v>
      </c>
      <c r="D5" s="154">
        <f>INDEX('Incremental Rev Req'!$O$89:$T$107,MATCH(B5,'Incremental Rev Req'!$O$89:$O$107,0),MATCH(Summary!$D$2,'Incremental Rev Req'!$O$89:$T$89,0))</f>
        <v>313.03090980522069</v>
      </c>
      <c r="G5" s="1"/>
      <c r="H5" s="84" t="s">
        <v>3</v>
      </c>
      <c r="I5" s="84" t="s">
        <v>389</v>
      </c>
      <c r="J5" s="84" t="s">
        <v>59</v>
      </c>
      <c r="K5" s="84" t="s">
        <v>5</v>
      </c>
      <c r="L5" s="84" t="s">
        <v>98</v>
      </c>
      <c r="M5" s="84" t="s">
        <v>14</v>
      </c>
      <c r="N5" s="84" t="s">
        <v>80</v>
      </c>
      <c r="O5" s="84" t="s">
        <v>100</v>
      </c>
      <c r="P5" s="84" t="s">
        <v>97</v>
      </c>
      <c r="Q5" s="84" t="s">
        <v>78</v>
      </c>
      <c r="R5" s="84" t="s">
        <v>10</v>
      </c>
      <c r="S5" s="84" t="s">
        <v>225</v>
      </c>
      <c r="T5" s="84" t="s">
        <v>87</v>
      </c>
      <c r="U5" s="84" t="s">
        <v>256</v>
      </c>
      <c r="V5" s="6" t="s">
        <v>250</v>
      </c>
      <c r="AC5" s="258"/>
      <c r="AD5" s="47"/>
    </row>
    <row r="6" spans="1:32" ht="15.6">
      <c r="B6" s="241" t="s">
        <v>59</v>
      </c>
      <c r="C6" s="154">
        <f>INDEX('Incremental Rev Req'!$O$8:$T$23,MATCH(B6,'Incremental Rev Req'!$O$8:$O$23,0),MATCH(Summary!$D$2,'Incremental Rev Req'!$O$8:$T$8,0))</f>
        <v>111028.10550104988</v>
      </c>
      <c r="D6" s="154">
        <f>INDEX('Incremental Rev Req'!$O$89:$T$107,MATCH(B6,'Incremental Rev Req'!$O$89:$O$107,0),MATCH(Summary!$D$2,'Incremental Rev Req'!$O$89:$T$89,0))</f>
        <v>168419.18324771925</v>
      </c>
      <c r="G6" s="1" t="s">
        <v>396</v>
      </c>
      <c r="H6" s="85">
        <f>IF(Summary!$D$2=2025,'Sales Allocations &amp; CCC'!D10,'Sales Allocations &amp; CCC'!D11)</f>
        <v>0.13947225796443538</v>
      </c>
      <c r="I6" s="85">
        <f>IF(Summary!$D$2=2025,'Sales Allocations &amp; CCC'!E10,'Sales Allocations &amp; CCC'!E11)</f>
        <v>0.13851677628572273</v>
      </c>
      <c r="J6" s="85">
        <f>IF(Summary!$D$2=2025,'Sales Allocations &amp; CCC'!F10,'Sales Allocations &amp; CCC'!F11)</f>
        <v>0.12314002343000446</v>
      </c>
      <c r="K6" s="85">
        <f>IF(Summary!$D$2=2025,'Sales Allocations &amp; CCC'!G10,'Sales Allocations &amp; CCC'!G11)</f>
        <v>0.16187429938936906</v>
      </c>
      <c r="L6" s="85">
        <f>IF(Summary!$D$2=2025,'Sales Allocations &amp; CCC'!H10,'Sales Allocations &amp; CCC'!H11)</f>
        <v>6.3686542882259556E-2</v>
      </c>
      <c r="M6" s="85">
        <f>IF(Summary!$D$2=2025,'Sales Allocations &amp; CCC'!I10,'Sales Allocations &amp; CCC'!I11)</f>
        <v>0.13364797448394217</v>
      </c>
      <c r="N6" s="85">
        <f>IF(Summary!$D$2=2025,'Sales Allocations &amp; CCC'!J10,'Sales Allocations &amp; CCC'!J11)</f>
        <v>0.12731947403217514</v>
      </c>
      <c r="O6" s="85">
        <f>IF(Summary!$D$2=2025,'Sales Allocations &amp; CCC'!K10,'Sales Allocations &amp; CCC'!K11)</f>
        <v>0.13322816465301632</v>
      </c>
      <c r="P6" s="85">
        <f>IF(Summary!$D$2=2025,'Sales Allocations &amp; CCC'!L10,'Sales Allocations &amp; CCC'!L11)</f>
        <v>0</v>
      </c>
      <c r="Q6" s="85">
        <f>IF(Summary!$D$2=2025,'Sales Allocations &amp; CCC'!M10,'Sales Allocations &amp; CCC'!M11)</f>
        <v>0</v>
      </c>
      <c r="R6" s="85">
        <f>IF(Summary!$D$2=2025,'Sales Allocations &amp; CCC'!N10,'Sales Allocations &amp; CCC'!N11)</f>
        <v>9.8184298135955861E-2</v>
      </c>
      <c r="S6" s="85">
        <f>IF(Summary!$D$2=2025,'Sales Allocations &amp; CCC'!O10,'Sales Allocations &amp; CCC'!O11)</f>
        <v>0.16257567999876396</v>
      </c>
      <c r="T6" s="85">
        <f>IF(Summary!$D$2=2025,'Sales Allocations &amp; CCC'!P10,'Sales Allocations &amp; CCC'!P11)</f>
        <v>0.14009695092218111</v>
      </c>
      <c r="U6" s="85">
        <f>IF(Summary!$D$2=2025,'Sales Allocations &amp; CCC'!Q10,'Sales Allocations &amp; CCC'!Q11)</f>
        <v>0.14099532244925966</v>
      </c>
      <c r="V6" s="236">
        <f>'Sales Allocations &amp; CCC'!S3</f>
        <v>8.0000000000000004E-4</v>
      </c>
      <c r="AD6" s="259"/>
    </row>
    <row r="7" spans="1:32" ht="15.6">
      <c r="B7" s="241" t="s">
        <v>5</v>
      </c>
      <c r="C7" s="154">
        <f>INDEX('Incremental Rev Req'!$O$8:$T$23,MATCH(B7,'Incremental Rev Req'!$O$8:$O$23,0),MATCH(Summary!$D$2,'Incremental Rev Req'!$O$8:$T$8,0))</f>
        <v>2526646.4734389815</v>
      </c>
      <c r="D7" s="154">
        <f>INDEX('Incremental Rev Req'!$O$89:$T$107,MATCH(B7,'Incremental Rev Req'!$O$89:$O$107,0),MATCH(Summary!$D$2,'Incremental Rev Req'!$O$89:$T$89,0))</f>
        <v>2672799.8357733805</v>
      </c>
      <c r="G7" s="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AD7" s="230"/>
    </row>
    <row r="8" spans="1:32" ht="15.6" customHeight="1">
      <c r="B8" s="241" t="s">
        <v>98</v>
      </c>
      <c r="C8" s="154">
        <f>INDEX('Incremental Rev Req'!$O$8:$T$23,MATCH(B8,'Incremental Rev Req'!$O$8:$O$23,0),MATCH(Summary!$D$2,'Incremental Rev Req'!$O$8:$T$8,0))</f>
        <v>-246532.22998150348</v>
      </c>
      <c r="D8" s="154">
        <f>INDEX('Incremental Rev Req'!$O$89:$T$107,MATCH(B8,'Incremental Rev Req'!$O$89:$O$107,0),MATCH(Summary!$D$2,'Incremental Rev Req'!$O$89:$T$89,0))</f>
        <v>-149108.549279297</v>
      </c>
      <c r="G8" s="87"/>
      <c r="H8" s="573" t="s">
        <v>164</v>
      </c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AD8" s="230"/>
    </row>
    <row r="9" spans="1:32" ht="15.75" customHeight="1">
      <c r="B9" s="241" t="s">
        <v>14</v>
      </c>
      <c r="C9" s="154">
        <f>INDEX('Incremental Rev Req'!$O$8:$T$23,MATCH(B9,'Incremental Rev Req'!$O$8:$O$23,0),MATCH(Summary!$D$2,'Incremental Rev Req'!$O$8:$T$8,0))</f>
        <v>5662.2347651632936</v>
      </c>
      <c r="D9" s="154">
        <f>INDEX('Incremental Rev Req'!$O$89:$T$107,MATCH(B9,'Incremental Rev Req'!$O$89:$O$107,0),MATCH(Summary!$D$2,'Incremental Rev Req'!$O$89:$T$89,0))</f>
        <v>-1425.1426837329054</v>
      </c>
      <c r="G9" s="88" t="s">
        <v>158</v>
      </c>
      <c r="H9" s="84" t="s">
        <v>3</v>
      </c>
      <c r="I9" s="84" t="s">
        <v>389</v>
      </c>
      <c r="J9" s="84" t="s">
        <v>59</v>
      </c>
      <c r="K9" s="84" t="s">
        <v>5</v>
      </c>
      <c r="L9" s="84" t="s">
        <v>98</v>
      </c>
      <c r="M9" s="84" t="s">
        <v>14</v>
      </c>
      <c r="N9" s="84" t="s">
        <v>80</v>
      </c>
      <c r="O9" s="84" t="s">
        <v>100</v>
      </c>
      <c r="P9" s="84" t="s">
        <v>97</v>
      </c>
      <c r="Q9" s="84" t="s">
        <v>78</v>
      </c>
      <c r="R9" s="84" t="s">
        <v>10</v>
      </c>
      <c r="S9" s="84" t="s">
        <v>225</v>
      </c>
      <c r="T9" s="84" t="s">
        <v>87</v>
      </c>
      <c r="U9" s="84" t="s">
        <v>256</v>
      </c>
      <c r="AD9" s="230"/>
    </row>
    <row r="10" spans="1:32" ht="15.6">
      <c r="B10" s="241" t="s">
        <v>80</v>
      </c>
      <c r="C10" s="154">
        <f>INDEX('Incremental Rev Req'!$O$8:$T$23,MATCH(B10,'Incremental Rev Req'!$O$8:$O$23,0),MATCH(Summary!$D$2,'Incremental Rev Req'!$O$8:$T$8,0))</f>
        <v>211.66537700000001</v>
      </c>
      <c r="D10" s="154">
        <f>INDEX('Incremental Rev Req'!$O$89:$T$107,MATCH(B10,'Incremental Rev Req'!$O$89:$O$107,0),MATCH(Summary!$D$2,'Incremental Rev Req'!$O$89:$T$89,0))</f>
        <v>-68.065970000000021</v>
      </c>
      <c r="G10" s="1" t="s">
        <v>396</v>
      </c>
      <c r="H10" s="89">
        <f>H6*H11</f>
        <v>87966.290366912581</v>
      </c>
      <c r="I10" s="89">
        <f>I6*I11</f>
        <v>11.106594097656853</v>
      </c>
      <c r="J10" s="89">
        <f>J6*J11</f>
        <v>13672.003512788289</v>
      </c>
      <c r="K10" s="89">
        <f>K6*K11</f>
        <v>408999.12769255519</v>
      </c>
      <c r="L10" s="89">
        <f t="shared" ref="L10:T10" si="0">L6*L11</f>
        <v>-15700.785436576096</v>
      </c>
      <c r="M10" s="89">
        <f t="shared" si="0"/>
        <v>756.74620741663409</v>
      </c>
      <c r="N10" s="89">
        <f t="shared" si="0"/>
        <v>26.949124470462063</v>
      </c>
      <c r="O10" s="89">
        <f t="shared" si="0"/>
        <v>47635.679075458727</v>
      </c>
      <c r="P10" s="89">
        <f t="shared" si="0"/>
        <v>0</v>
      </c>
      <c r="Q10" s="89">
        <f t="shared" si="0"/>
        <v>0</v>
      </c>
      <c r="R10" s="89">
        <f t="shared" si="0"/>
        <v>84704.126776110352</v>
      </c>
      <c r="S10" s="89">
        <f>S6*S11</f>
        <v>14927.159986975998</v>
      </c>
      <c r="T10" s="89">
        <f t="shared" si="0"/>
        <v>25.044275607743181</v>
      </c>
      <c r="U10" s="89">
        <f>U6*U11</f>
        <v>-26192.633356935181</v>
      </c>
      <c r="V10" s="89">
        <f>SUM(H10:U10)</f>
        <v>616830.81481888227</v>
      </c>
      <c r="W10" s="177"/>
      <c r="X10" s="181"/>
      <c r="AB10" s="98"/>
      <c r="AD10" s="230"/>
    </row>
    <row r="11" spans="1:32" ht="15.6">
      <c r="B11" s="242" t="s">
        <v>100</v>
      </c>
      <c r="C11" s="154">
        <f>INDEX('Incremental Rev Req'!$O$8:$T$23,MATCH(B11,'Incremental Rev Req'!$O$8:$O$23,0),MATCH(Summary!$D$2,'Incremental Rev Req'!$O$8:$T$8,0))</f>
        <v>357549.615725193</v>
      </c>
      <c r="D11" s="154">
        <f>INDEX('Incremental Rev Req'!$O$89:$T$107,MATCH(B11,'Incremental Rev Req'!$O$89:$O$107,0),MATCH(Summary!$D$2,'Incremental Rev Req'!$O$89:$T$89,0))</f>
        <v>264030.55944780965</v>
      </c>
      <c r="G11" s="1" t="s">
        <v>165</v>
      </c>
      <c r="H11" s="90">
        <f>C4</f>
        <v>630708.1540856926</v>
      </c>
      <c r="I11" s="90">
        <f>C5</f>
        <v>80.182302790146849</v>
      </c>
      <c r="J11" s="90">
        <f>C6</f>
        <v>111028.10550104988</v>
      </c>
      <c r="K11" s="90">
        <f>C7</f>
        <v>2526646.4734389815</v>
      </c>
      <c r="L11" s="90">
        <f>C8</f>
        <v>-246532.22998150348</v>
      </c>
      <c r="M11" s="90">
        <f>C9</f>
        <v>5662.2347651632936</v>
      </c>
      <c r="N11" s="90">
        <f>C10</f>
        <v>211.66537700000001</v>
      </c>
      <c r="O11" s="90">
        <f>C11</f>
        <v>357549.615725193</v>
      </c>
      <c r="P11" s="90">
        <f>C12</f>
        <v>0</v>
      </c>
      <c r="Q11" s="90">
        <f>C16</f>
        <v>0</v>
      </c>
      <c r="R11" s="90">
        <f>C14</f>
        <v>862705.42626704415</v>
      </c>
      <c r="S11" s="90">
        <f>C17</f>
        <v>91816.684925380512</v>
      </c>
      <c r="T11" s="90">
        <f>C15</f>
        <v>178.76388774267036</v>
      </c>
      <c r="U11" s="90">
        <f>C13</f>
        <v>-185769.51988149245</v>
      </c>
      <c r="V11" s="89">
        <f>SUM(H11:U11)</f>
        <v>4154285.5564130405</v>
      </c>
      <c r="W11" s="176"/>
      <c r="X11" s="181"/>
      <c r="AB11" s="98"/>
      <c r="AC11" s="98"/>
    </row>
    <row r="12" spans="1:32" ht="15.6">
      <c r="B12" s="241" t="s">
        <v>97</v>
      </c>
      <c r="C12" s="154">
        <f>INDEX('Incremental Rev Req'!$O$8:$T$23,MATCH(B12,'Incremental Rev Req'!$O$8:$O$23,0),MATCH(Summary!$D$2,'Incremental Rev Req'!$O$8:$T$8,0))</f>
        <v>0</v>
      </c>
      <c r="D12" s="154">
        <f>INDEX('Incremental Rev Req'!$O$89:$T$107,MATCH(B12,'Incremental Rev Req'!$O$89:$O$107,0),MATCH(Summary!$D$2,'Incremental Rev Req'!$O$89:$T$89,0))</f>
        <v>0</v>
      </c>
      <c r="G12" s="88" t="s">
        <v>166</v>
      </c>
      <c r="V12" s="89"/>
      <c r="X12" s="181"/>
      <c r="AC12" s="181"/>
      <c r="AD12" s="167"/>
    </row>
    <row r="13" spans="1:32" ht="15.75" customHeight="1">
      <c r="B13" s="241" t="s">
        <v>256</v>
      </c>
      <c r="C13" s="154">
        <f>INDEX('Incremental Rev Req'!$O$8:$T$23,MATCH(B13,'Incremental Rev Req'!$O$8:$O$23,0),MATCH(Summary!$D$2,'Incremental Rev Req'!$O$8:$T$8,0))</f>
        <v>-185769.51988149245</v>
      </c>
      <c r="D13" s="154">
        <f>INDEX('Incremental Rev Req'!$O$89:$T$107,MATCH(B13,'Incremental Rev Req'!$O$89:$O$107,0),MATCH(Summary!$D$2,'Incremental Rev Req'!$O$89:$T$89,0))</f>
        <v>339156.28319910541</v>
      </c>
      <c r="G13" s="1" t="s">
        <v>396</v>
      </c>
      <c r="H13" s="89">
        <f>H6*H14</f>
        <v>81151.394393110852</v>
      </c>
      <c r="I13" s="89">
        <f>I6*I14</f>
        <v>43.360032504006007</v>
      </c>
      <c r="J13" s="89">
        <f t="shared" ref="J13:T13" si="1">J6*J14</f>
        <v>20739.142171186362</v>
      </c>
      <c r="K13" s="89">
        <f t="shared" si="1"/>
        <v>432657.60082383663</v>
      </c>
      <c r="L13" s="89">
        <f t="shared" si="1"/>
        <v>-9496.2080177874614</v>
      </c>
      <c r="M13" s="89">
        <f t="shared" si="1"/>
        <v>-190.4674330315122</v>
      </c>
      <c r="N13" s="89">
        <f t="shared" si="1"/>
        <v>-8.6661234998898156</v>
      </c>
      <c r="O13" s="89">
        <f t="shared" si="1"/>
        <v>35176.3068475408</v>
      </c>
      <c r="P13" s="89">
        <f t="shared" si="1"/>
        <v>0</v>
      </c>
      <c r="Q13" s="89">
        <f t="shared" si="1"/>
        <v>0</v>
      </c>
      <c r="R13" s="89">
        <f t="shared" si="1"/>
        <v>110030.2501602033</v>
      </c>
      <c r="S13" s="89">
        <f>S6*S14</f>
        <v>14394.703934063105</v>
      </c>
      <c r="T13" s="89">
        <f t="shared" si="1"/>
        <v>25.044275607743181</v>
      </c>
      <c r="U13" s="89">
        <f>U6*U14</f>
        <v>47819.449510350292</v>
      </c>
      <c r="V13" s="89">
        <f>SUM(H13:U13)</f>
        <v>732341.91057408426</v>
      </c>
      <c r="W13" s="177"/>
      <c r="X13" s="181"/>
      <c r="AC13" s="98"/>
      <c r="AD13" s="98"/>
    </row>
    <row r="14" spans="1:32" ht="15.75" customHeight="1">
      <c r="B14" s="241" t="s">
        <v>10</v>
      </c>
      <c r="C14" s="154">
        <f>INDEX('Incremental Rev Req'!$O$8:$T$23,MATCH(B14,'Incremental Rev Req'!$O$8:$O$23,0),MATCH(Summary!$D$2,'Incremental Rev Req'!$O$8:$T$8,0))</f>
        <v>862705.42626704415</v>
      </c>
      <c r="D14" s="154">
        <f>INDEX('Incremental Rev Req'!$O$89:$T$107,MATCH(B14,'Incremental Rev Req'!$O$89:$O$107,0),MATCH(Summary!$D$2,'Incremental Rev Req'!$O$89:$T$89,0))</f>
        <v>1120650.1675842744</v>
      </c>
      <c r="G14" s="1" t="s">
        <v>165</v>
      </c>
      <c r="H14" s="90">
        <f>D4</f>
        <v>581846.13612410286</v>
      </c>
      <c r="I14" s="90">
        <f>D5</f>
        <v>313.03090980522069</v>
      </c>
      <c r="J14" s="90">
        <f>D6</f>
        <v>168419.18324771925</v>
      </c>
      <c r="K14" s="90">
        <f>D7</f>
        <v>2672799.8357733805</v>
      </c>
      <c r="L14" s="90">
        <f>D8</f>
        <v>-149108.549279297</v>
      </c>
      <c r="M14" s="90">
        <f>D9</f>
        <v>-1425.1426837329054</v>
      </c>
      <c r="N14" s="90">
        <f>D10</f>
        <v>-68.065970000000021</v>
      </c>
      <c r="O14" s="90">
        <f>D11</f>
        <v>264030.55944780965</v>
      </c>
      <c r="P14" s="90">
        <f>D12</f>
        <v>0</v>
      </c>
      <c r="Q14" s="90">
        <f>D16</f>
        <v>0</v>
      </c>
      <c r="R14" s="90">
        <f>D14</f>
        <v>1120650.1675842744</v>
      </c>
      <c r="S14" s="90">
        <f>D17</f>
        <v>88541.557594423386</v>
      </c>
      <c r="T14" s="90">
        <f>D15</f>
        <v>178.76388774267036</v>
      </c>
      <c r="U14" s="90">
        <f>D13</f>
        <v>339156.28319910541</v>
      </c>
      <c r="V14" s="89">
        <f>SUM(H14:U14)</f>
        <v>5085333.7598353336</v>
      </c>
      <c r="W14" s="176"/>
      <c r="X14" s="181"/>
      <c r="AC14" s="98"/>
      <c r="AD14" s="345"/>
    </row>
    <row r="15" spans="1:32" ht="15.6">
      <c r="B15" s="241" t="s">
        <v>87</v>
      </c>
      <c r="C15" s="154">
        <f>INDEX('Incremental Rev Req'!$O$8:$T$23,MATCH(B15,'Incremental Rev Req'!$O$8:$O$23,0),MATCH(Summary!$D$2,'Incremental Rev Req'!$O$8:$T$8,0))</f>
        <v>178.76388774267036</v>
      </c>
      <c r="D15" s="154">
        <f>INDEX('Incremental Rev Req'!$O$89:$T$107,MATCH(B15,'Incremental Rev Req'!$O$89:$O$107,0),MATCH(Summary!$D$2,'Incremental Rev Req'!$O$89:$T$89,0))</f>
        <v>178.76388774267036</v>
      </c>
      <c r="G15" s="91"/>
      <c r="H15" s="39"/>
      <c r="I15" s="39"/>
      <c r="J15" s="39"/>
      <c r="K15" s="39"/>
      <c r="L15" s="87"/>
      <c r="AC15" s="1"/>
    </row>
    <row r="16" spans="1:32" ht="15.6">
      <c r="B16" s="241" t="s">
        <v>78</v>
      </c>
      <c r="C16" s="154">
        <f>INDEX('Incremental Rev Req'!$O$8:$T$23,MATCH(B16,'Incremental Rev Req'!$O$8:$O$23,0),MATCH(Summary!$D$2,'Incremental Rev Req'!$O$8:$T$8,0))</f>
        <v>0</v>
      </c>
      <c r="D16" s="154">
        <f>INDEX('Incremental Rev Req'!$O$89:$T$107,MATCH(B16,'Incremental Rev Req'!$O$89:$O$107,0),MATCH(Summary!$D$2,'Incremental Rev Req'!$O$89:$T$89,0))</f>
        <v>0</v>
      </c>
      <c r="V16" s="575" t="s">
        <v>262</v>
      </c>
      <c r="W16" s="576"/>
      <c r="X16" s="575" t="s">
        <v>258</v>
      </c>
      <c r="Y16" s="576"/>
      <c r="Z16" s="568" t="s">
        <v>259</v>
      </c>
      <c r="AA16" s="568" t="s">
        <v>260</v>
      </c>
      <c r="AC16" s="212"/>
      <c r="AD16" s="346"/>
      <c r="AE16" s="311"/>
      <c r="AF16" s="167"/>
    </row>
    <row r="17" spans="2:32" ht="15.6">
      <c r="B17" s="1" t="s">
        <v>225</v>
      </c>
      <c r="C17" s="154">
        <f>INDEX('Incremental Rev Req'!$O$8:$T$23,MATCH(B17,'Incremental Rev Req'!$O$8:$O$23,0),MATCH(Summary!$D$2,'Incremental Rev Req'!$O$8:$T$8,0))</f>
        <v>91816.684925380512</v>
      </c>
      <c r="D17" s="154">
        <f>INDEX('Incremental Rev Req'!$O$89:$T$107,MATCH(B17,'Incremental Rev Req'!$O$89:$O$107,0),MATCH(Summary!$D$2,'Incremental Rev Req'!$O$89:$T$89,0))</f>
        <v>88541.557594423386</v>
      </c>
      <c r="G17" s="87"/>
      <c r="H17" s="579" t="s">
        <v>254</v>
      </c>
      <c r="I17" s="579"/>
      <c r="J17" s="579"/>
      <c r="K17" s="579"/>
      <c r="L17" s="579"/>
      <c r="M17" s="579"/>
      <c r="N17" s="579"/>
      <c r="O17" s="579"/>
      <c r="P17" s="579"/>
      <c r="Q17" s="579"/>
      <c r="R17" s="579"/>
      <c r="S17" s="579"/>
      <c r="T17" s="579"/>
      <c r="U17" s="578"/>
      <c r="V17" s="577" t="s">
        <v>169</v>
      </c>
      <c r="W17" s="578"/>
      <c r="X17" s="577" t="s">
        <v>169</v>
      </c>
      <c r="Y17" s="578"/>
      <c r="Z17" s="569"/>
      <c r="AA17" s="569"/>
      <c r="AC17" s="212"/>
      <c r="AD17" s="92" t="s">
        <v>158</v>
      </c>
      <c r="AE17" s="92" t="s">
        <v>166</v>
      </c>
    </row>
    <row r="18" spans="2:32" ht="31.2">
      <c r="B18" s="2" t="s">
        <v>261</v>
      </c>
      <c r="C18" s="82">
        <f>SUM(C4:C17)</f>
        <v>4154285.5564130414</v>
      </c>
      <c r="D18" s="82">
        <f>SUM(D4:D17)</f>
        <v>5085333.7598353336</v>
      </c>
      <c r="F18" s="279"/>
      <c r="H18" s="84" t="s">
        <v>3</v>
      </c>
      <c r="I18" s="84" t="s">
        <v>389</v>
      </c>
      <c r="J18" s="84" t="s">
        <v>59</v>
      </c>
      <c r="K18" s="84" t="s">
        <v>5</v>
      </c>
      <c r="L18" s="84" t="s">
        <v>98</v>
      </c>
      <c r="M18" s="84" t="s">
        <v>14</v>
      </c>
      <c r="N18" s="84" t="s">
        <v>80</v>
      </c>
      <c r="O18" s="84" t="s">
        <v>100</v>
      </c>
      <c r="P18" s="84" t="s">
        <v>97</v>
      </c>
      <c r="Q18" s="84" t="s">
        <v>78</v>
      </c>
      <c r="R18" s="84" t="s">
        <v>10</v>
      </c>
      <c r="S18" s="84" t="s">
        <v>225</v>
      </c>
      <c r="T18" s="84" t="s">
        <v>87</v>
      </c>
      <c r="U18" s="84" t="s">
        <v>256</v>
      </c>
      <c r="V18" s="94" t="s">
        <v>113</v>
      </c>
      <c r="W18" s="637" t="s">
        <v>484</v>
      </c>
      <c r="X18" s="639" t="s">
        <v>113</v>
      </c>
      <c r="Y18" s="637" t="s">
        <v>484</v>
      </c>
      <c r="Z18" s="94" t="s">
        <v>3</v>
      </c>
      <c r="AA18" s="238" t="s">
        <v>3</v>
      </c>
      <c r="AC18" s="212" t="s">
        <v>485</v>
      </c>
      <c r="AD18" s="90">
        <f>IF(Summary!$D$2=2025,C31,C32)</f>
        <v>248737.81077332402</v>
      </c>
      <c r="AE18" s="90">
        <f>AD18</f>
        <v>248737.81077332402</v>
      </c>
      <c r="AF18" s="98"/>
    </row>
    <row r="19" spans="2:32" ht="15.6">
      <c r="C19" s="181"/>
      <c r="D19" s="181"/>
      <c r="E19" s="279"/>
      <c r="G19" s="1" t="s">
        <v>396</v>
      </c>
      <c r="H19" s="85">
        <v>1</v>
      </c>
      <c r="I19" s="85">
        <v>0</v>
      </c>
      <c r="J19" s="85">
        <v>1</v>
      </c>
      <c r="K19" s="85">
        <v>1</v>
      </c>
      <c r="L19" s="85">
        <v>1</v>
      </c>
      <c r="M19" s="85">
        <v>1</v>
      </c>
      <c r="N19" s="85">
        <v>1</v>
      </c>
      <c r="O19" s="85">
        <v>1</v>
      </c>
      <c r="P19" s="85">
        <v>1</v>
      </c>
      <c r="Q19" s="85">
        <v>1</v>
      </c>
      <c r="R19" s="85">
        <v>1</v>
      </c>
      <c r="S19" s="85">
        <v>1</v>
      </c>
      <c r="T19" s="85">
        <v>1</v>
      </c>
      <c r="U19" s="85">
        <v>0</v>
      </c>
      <c r="V19" s="95">
        <f>SUMPRODUCT(J10:T10,J19:T19)</f>
        <v>555046.05121480732</v>
      </c>
      <c r="W19" s="99">
        <f>V19-((AD18)*IF(Summary!$D$2=2025,D31,D32))</f>
        <v>545137.53574670607</v>
      </c>
      <c r="X19" s="95">
        <f>SUMPRODUCT(J13:T13,J19:T19)</f>
        <v>603327.70663811907</v>
      </c>
      <c r="Y19" s="96">
        <f>X19-((AE18)*IF(Summary!$D$2=2025,D31,D32))</f>
        <v>593419.19117001782</v>
      </c>
      <c r="Z19" s="95">
        <f>SUMPRODUCT(H10,H19)</f>
        <v>87966.290366912581</v>
      </c>
      <c r="AA19" s="239">
        <f>SUMPRODUCT(H13,H19)</f>
        <v>81151.394393110852</v>
      </c>
      <c r="AC19" s="212"/>
      <c r="AD19" s="89"/>
      <c r="AE19" s="89"/>
    </row>
    <row r="20" spans="2:32" ht="15.6">
      <c r="B20" s="2" t="s">
        <v>250</v>
      </c>
      <c r="C20" s="235">
        <f>'Sales Allocations &amp; CCC'!S3</f>
        <v>8.0000000000000004E-4</v>
      </c>
      <c r="D20" s="235">
        <f>'Sales Allocations &amp; CCC'!S3</f>
        <v>8.0000000000000004E-4</v>
      </c>
      <c r="G20" s="1" t="s">
        <v>165</v>
      </c>
      <c r="H20" s="85">
        <v>1</v>
      </c>
      <c r="I20" s="85">
        <v>0</v>
      </c>
      <c r="J20" s="85">
        <v>1</v>
      </c>
      <c r="K20" s="85">
        <v>1</v>
      </c>
      <c r="L20" s="85">
        <v>1</v>
      </c>
      <c r="M20" s="85">
        <v>1</v>
      </c>
      <c r="N20" s="85">
        <v>1</v>
      </c>
      <c r="O20" s="85">
        <v>1</v>
      </c>
      <c r="P20" s="85">
        <v>1</v>
      </c>
      <c r="Q20" s="85">
        <v>1</v>
      </c>
      <c r="R20" s="85">
        <v>1</v>
      </c>
      <c r="S20" s="85">
        <v>1</v>
      </c>
      <c r="T20" s="85">
        <v>1</v>
      </c>
      <c r="U20" s="85">
        <v>0</v>
      </c>
      <c r="V20" s="95">
        <f>SUMPRODUCT(J11:T11,J20:T20)</f>
        <v>3709266.7399060512</v>
      </c>
      <c r="W20" s="99">
        <f>V20-AD18</f>
        <v>3460528.929132727</v>
      </c>
      <c r="X20" s="95">
        <f>SUMPRODUCT(J14:T14,J20:T20)</f>
        <v>4164018.3096023197</v>
      </c>
      <c r="Y20" s="96">
        <f>X20-AE18</f>
        <v>3915280.4988289955</v>
      </c>
      <c r="Z20" s="95">
        <f>SUMPRODUCT(H11,H20)</f>
        <v>630708.1540856926</v>
      </c>
      <c r="AA20" s="239">
        <f>SUMPRODUCT(H14,H20)</f>
        <v>581846.13612410286</v>
      </c>
      <c r="AC20" s="212"/>
      <c r="AD20" s="312"/>
      <c r="AE20" s="312"/>
      <c r="AF20" s="1"/>
    </row>
    <row r="21" spans="2:32" ht="15.6">
      <c r="B21" s="2"/>
      <c r="C21" s="235"/>
      <c r="D21" s="235"/>
      <c r="G21" s="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99"/>
      <c r="V21" s="99"/>
      <c r="W21" s="99"/>
      <c r="X21" s="99"/>
      <c r="Y21" s="99"/>
      <c r="Z21" s="99"/>
      <c r="AB21" s="212"/>
      <c r="AC21" s="312"/>
      <c r="AD21" s="312"/>
      <c r="AE21" s="1"/>
    </row>
    <row r="22" spans="2:32" ht="15.6">
      <c r="B22" s="2"/>
      <c r="C22" s="235"/>
      <c r="D22" s="235"/>
      <c r="G22" s="564" t="s">
        <v>172</v>
      </c>
      <c r="H22" s="565"/>
      <c r="I22" s="565"/>
      <c r="J22" s="565"/>
      <c r="K22" s="565"/>
      <c r="L22" s="566"/>
      <c r="P22" s="1"/>
      <c r="Q22" s="564" t="s">
        <v>173</v>
      </c>
      <c r="R22" s="565"/>
      <c r="S22" s="565"/>
      <c r="T22" s="565"/>
      <c r="U22" s="565"/>
      <c r="V22" s="565"/>
      <c r="W22" s="566"/>
      <c r="X22" s="105"/>
      <c r="AB22" s="93"/>
      <c r="AC22" s="90"/>
      <c r="AD22" s="90"/>
      <c r="AE22" s="168"/>
    </row>
    <row r="23" spans="2:32" ht="46.8">
      <c r="C23" s="570" t="s">
        <v>442</v>
      </c>
      <c r="D23" s="571"/>
      <c r="E23" s="572"/>
      <c r="F23" s="83"/>
      <c r="G23" s="83" t="str">
        <f>Summary!D2&amp;" SALES DETERMINANTS BUNDLED"</f>
        <v>2029 SALES DETERMINANTS BUNDLED</v>
      </c>
      <c r="H23" s="633" t="str">
        <f>Summary!I2&amp;" Avg Rates"&amp;"(sales adj.)"</f>
        <v>10/1/25 Avg Rates(sales adj.)</v>
      </c>
      <c r="I23" s="83" t="s">
        <v>174</v>
      </c>
      <c r="J23" s="83" t="s">
        <v>175</v>
      </c>
      <c r="K23" s="83" t="s">
        <v>176</v>
      </c>
      <c r="L23" s="83" t="s">
        <v>177</v>
      </c>
      <c r="Q23" s="645"/>
      <c r="R23" s="633" t="str">
        <f>C24</f>
        <v>SYSTEM NET</v>
      </c>
      <c r="S23" s="633" t="str">
        <f>H23</f>
        <v>10/1/25 Avg Rates(sales adj.)</v>
      </c>
      <c r="T23" s="633" t="s">
        <v>174</v>
      </c>
      <c r="U23" s="633" t="s">
        <v>175</v>
      </c>
      <c r="V23" s="633" t="s">
        <v>176</v>
      </c>
      <c r="W23" s="633" t="s">
        <v>177</v>
      </c>
      <c r="X23" s="105"/>
      <c r="AB23" s="52"/>
      <c r="AC23" s="475">
        <f>'SAR and RAR'!AC23</f>
        <v>45809</v>
      </c>
      <c r="AD23" s="475">
        <f>'SAR and RAR'!AD23</f>
        <v>45931</v>
      </c>
      <c r="AE23" s="475">
        <f>'SAR and RAR'!AE23</f>
        <v>45809</v>
      </c>
      <c r="AF23" s="475">
        <f>'SAR and RAR'!AF23</f>
        <v>45931</v>
      </c>
    </row>
    <row r="24" spans="2:32" ht="31.2">
      <c r="B24" s="1"/>
      <c r="C24" s="83" t="s">
        <v>339</v>
      </c>
      <c r="D24" s="83" t="s">
        <v>340</v>
      </c>
      <c r="E24" s="83" t="s">
        <v>341</v>
      </c>
      <c r="F24" s="106" t="s">
        <v>396</v>
      </c>
      <c r="G24" s="636">
        <f>IF(Summary!$D$2=2025,E25,E38)</f>
        <v>518117.44963314955</v>
      </c>
      <c r="H24" s="658">
        <f>IF(Summary!$I$8="N",AF26,AD26)</f>
        <v>37.106000000000002</v>
      </c>
      <c r="I24" s="478">
        <f>IF(Summary!$I$8="Y",((SUM($J10:$L10,$Q10:$R10,$T10)-($AD$18*IF(Summary!$D$2=2025,D31,D32)))/IF(Summary!$D$2=2025,$C25,$C38)*100)+(SUM($M10:$P10,$S10)/IF(Summary!$D$2=2025,$D25,$D38)*100)+($H10/IF(Summary!$D$2=2025,$E25,$E38)*100),((SUM($J10:$K10,$Q10:$R10,$T10)-($AD$18*IF(Summary!$D$2=2025,D31,D32)))/IF(Summary!$D$2=2025,$C25,$C38)*100)+(SUM($M10:$P10,$S10)/IF(Summary!$D$2=2025,$D25,$D38)*100)+($H10/IF(Summary!$D$2=2025,$E25,$E38)*100))</f>
        <v>39.261319324094202</v>
      </c>
      <c r="J24" s="478">
        <f>IF(Summary!$I$8="Y",((SUM($J13:$L13,$Q13:$R13,$T13)-($AE$18*IF(Summary!$D$2=2025,D31,D32)))/IF(Summary!$D$2=2025,$C25,$C38)*100)+(SUM($M13:$P13,$S13)/IF(Summary!$D$2=2025,$D25,$D38)*100)+($H13/IF(Summary!$D$2=2025,$E25,$E38)*100),((SUM($J13:$K13,$Q13:$R13,$T13)-($AE$18*IF(Summary!$D$2=2025,D31,D32)))/IF(Summary!$D$2=2025,$C25,$C38)*100)+(SUM($M13:$P13,$S13)/IF(Summary!$D$2=2025,$D25,$D38)*100)+($H13/IF(Summary!$D$2=2025,$E25,$E38)*100))</f>
        <v>39.931708648914181</v>
      </c>
      <c r="K24" s="107">
        <f>I24/H24-1</f>
        <v>5.8085466611712322E-2</v>
      </c>
      <c r="L24" s="107">
        <f>J24/H24-1</f>
        <v>7.6152337867573472E-2</v>
      </c>
      <c r="O24" s="284"/>
      <c r="Q24" s="106" t="s">
        <v>396</v>
      </c>
      <c r="R24" s="97">
        <f>IF(Summary!$D$2=2025,C25,C38)</f>
        <v>2442100.4570462531</v>
      </c>
      <c r="S24" s="479">
        <v>36.137671999002876</v>
      </c>
      <c r="T24" s="478">
        <f>I24+($U10/(IF(Summary!$D$2=2025,$C25,$C38)-IF(Summary!$D$2=2025,$E25,$E38))*100)+($I10/(IF(Summary!$D$2=2025,$C25,$C38)-IF(Summary!$D$2=2025,$E25,$E38))*100)</f>
        <v>37.900521091367608</v>
      </c>
      <c r="U24" s="478">
        <f>J24+($U13/(IF(Summary!$D$2=2025,$C25,$C38)-IF(Summary!$D$2=2025,$E25,$E38))*100)+($I13/(IF(Summary!$D$2=2025,$C25,$C38)-IF(Summary!$D$2=2025,$E25,$E38))*100)</f>
        <v>42.41940263365516</v>
      </c>
      <c r="V24" s="107">
        <f>T24/S24-1</f>
        <v>4.8781479128300553E-2</v>
      </c>
      <c r="W24" s="107">
        <f>U24/S24-1</f>
        <v>0.17382776164512226</v>
      </c>
      <c r="X24" s="105"/>
      <c r="Y24" s="1"/>
      <c r="Z24" s="1"/>
      <c r="AB24" s="52"/>
      <c r="AC24" s="574" t="s">
        <v>451</v>
      </c>
      <c r="AD24" s="574"/>
      <c r="AE24" s="574" t="s">
        <v>450</v>
      </c>
      <c r="AF24" s="574"/>
    </row>
    <row r="25" spans="2:32" ht="15.6">
      <c r="B25" s="656" t="s">
        <v>396</v>
      </c>
      <c r="C25" s="237">
        <v>2428289.2411020878</v>
      </c>
      <c r="D25" s="237">
        <v>2465317.8217447591</v>
      </c>
      <c r="E25" s="4">
        <v>502540.6164810523</v>
      </c>
      <c r="F25" s="106" t="s">
        <v>165</v>
      </c>
      <c r="G25" s="636">
        <f>IF(Summary!$D$2=2025,E26,E39)</f>
        <v>3218717.0926473769</v>
      </c>
      <c r="H25" s="658">
        <f>IF(Summary!$I$8="N",AF27,AD27)</f>
        <v>35.117000000000004</v>
      </c>
      <c r="I25" s="478">
        <f>IF(Summary!$I$8="Y",((SUM($J11:$L11,$Q11:$R11,$T11)-$AD$18)/IF(Summary!$D$2=2025,$C26,$C39)*100)+(SUM($M11:$P11,$S11)/IF(Summary!$D$2=2025,$D26,$D39)*100)+($H11/IF(Summary!$D$2=2025,$E26,$E39)*100),((SUM($J11:$K11,$Q11:$R11,$T11)-$AD$18)/IF(Summary!$D$2=2025,$C26,$C39)*100)+(SUM($M11:$P11,$S11)/IF(Summary!$D$2=2025,$D26,$D39)*100)+($H11/IF(Summary!$D$2=2025,$E26,$E39)*100))</f>
        <v>39.173037443540508</v>
      </c>
      <c r="J25" s="478">
        <f>IF(Summary!$I$8="Y",((SUM($J14:$L14,$Q14:$R14,$T14)-$AE$18)/IF(Summary!$D$2=2025,$C26,$C39)*100)+(SUM($M14:$P14,$S14)/IF(Summary!$D$2=2025,$D26,$D39)*100)+($H14/IF(Summary!$D$2=2025,$E26,$E39)*100),((SUM($J14:$K14,$Q14:$R14,$T14)-$AE$18)/IF(Summary!$D$2=2025,$C26,$C39)*100)+(SUM($M14:$P14,$S14)/IF(Summary!$D$2=2025,$D26,$D39)*100)+($H14/IF(Summary!$D$2=2025,$E26,$E39)*100))</f>
        <v>40.326523832481151</v>
      </c>
      <c r="K25" s="107">
        <f>I25/H25-1</f>
        <v>0.11550068182192397</v>
      </c>
      <c r="L25" s="107">
        <f>J25/H25-1</f>
        <v>0.14834763312586907</v>
      </c>
      <c r="Q25" s="106" t="s">
        <v>165</v>
      </c>
      <c r="R25" s="97">
        <f>IF(Summary!$D$2=2025,C26,C39)</f>
        <v>17431428.835748378</v>
      </c>
      <c r="S25" s="479">
        <v>33.966275336408145</v>
      </c>
      <c r="T25" s="478">
        <f>I25+($U11/(IF(Summary!$D$2=2025,$C26,$C39)-IF(Summary!$D$2=2025,$E26,$E39))*100)+($I11/(IF(Summary!$D$2=2025,$C26,$C39)-IF(Summary!$D$2=2025,$E26,$E39))*100)</f>
        <v>37.866535623654954</v>
      </c>
      <c r="U25" s="478">
        <f>J25+($U14/(IF(Summary!$D$2=2025,$C26,$C39)-IF(Summary!$D$2=2025,$E26,$E39))*100)+($I14/(IF(Summary!$D$2=2025,$C26,$C39)-IF(Summary!$D$2=2025,$E26,$E39))*100)</f>
        <v>42.715014644403041</v>
      </c>
      <c r="V25" s="107">
        <f>T25/S25-1</f>
        <v>0.11482743540814888</v>
      </c>
      <c r="W25" s="107">
        <f>U25/S25-1</f>
        <v>0.25757134750118449</v>
      </c>
      <c r="X25" s="109"/>
      <c r="Y25" s="102"/>
      <c r="Z25" s="102"/>
      <c r="AB25" s="52" t="s">
        <v>341</v>
      </c>
      <c r="AC25" s="52"/>
      <c r="AD25" s="52"/>
      <c r="AE25" s="52"/>
      <c r="AF25" s="52"/>
    </row>
    <row r="26" spans="2:32" ht="15.6">
      <c r="B26" s="106" t="s">
        <v>165</v>
      </c>
      <c r="C26" s="237">
        <v>18290445.652985182</v>
      </c>
      <c r="D26" s="237">
        <v>20272867.503732543</v>
      </c>
      <c r="E26" s="4">
        <v>3877834.6865865677</v>
      </c>
      <c r="F26" s="20"/>
      <c r="S26" s="1"/>
      <c r="T26" s="1"/>
      <c r="U26" s="103"/>
      <c r="V26" s="104"/>
      <c r="W26" s="103"/>
      <c r="X26" s="105"/>
      <c r="Y26" s="104"/>
      <c r="Z26" s="104"/>
      <c r="AB26" s="52" t="s">
        <v>396</v>
      </c>
      <c r="AC26" s="477">
        <v>37.375</v>
      </c>
      <c r="AD26" s="441">
        <v>37.106000000000002</v>
      </c>
      <c r="AE26" s="441">
        <v>38.103000000000002</v>
      </c>
      <c r="AF26" s="441">
        <v>37.834000000000003</v>
      </c>
    </row>
    <row r="27" spans="2:32" ht="15.6">
      <c r="B27" s="282"/>
      <c r="C27" s="2"/>
      <c r="E27" s="20"/>
      <c r="F27" s="1"/>
      <c r="H27" s="4"/>
      <c r="I27" s="4"/>
      <c r="J27" s="4"/>
      <c r="Q27" s="1"/>
      <c r="R27" s="1"/>
      <c r="S27" s="1"/>
      <c r="T27" s="1"/>
      <c r="U27" s="1"/>
      <c r="V27" s="1"/>
      <c r="W27" s="1"/>
      <c r="X27" s="109"/>
      <c r="Y27" s="105"/>
      <c r="Z27" s="105"/>
      <c r="AB27" s="52" t="s">
        <v>165</v>
      </c>
      <c r="AC27" s="477">
        <f>'SAR and RAR'!AC27</f>
        <v>35.430999999999997</v>
      </c>
      <c r="AD27" s="477">
        <f>'SAR and RAR'!AD27</f>
        <v>35.117000000000004</v>
      </c>
      <c r="AE27" s="477">
        <f>'SAR and RAR'!AE27</f>
        <v>36.778999999999996</v>
      </c>
      <c r="AF27" s="477">
        <f>'SAR and RAR'!AF27</f>
        <v>36.465000000000003</v>
      </c>
    </row>
    <row r="28" spans="2:32" ht="15.6">
      <c r="D28" s="1"/>
      <c r="E28" s="1"/>
      <c r="F28" s="1"/>
      <c r="G28" s="285"/>
      <c r="H28" s="4"/>
      <c r="I28" s="4"/>
      <c r="J28" s="4"/>
      <c r="K28" s="20"/>
      <c r="L28" s="2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09"/>
      <c r="Y28" s="105"/>
      <c r="Z28" s="105"/>
      <c r="AD28" s="1"/>
      <c r="AE28" s="1"/>
    </row>
    <row r="29" spans="2:32" ht="15.6">
      <c r="B29" s="459" t="s">
        <v>483</v>
      </c>
      <c r="C29" s="3"/>
      <c r="D29" s="1"/>
      <c r="E29" s="1"/>
      <c r="G29" s="83"/>
      <c r="H29" s="315"/>
      <c r="I29" s="315"/>
      <c r="J29" s="315"/>
      <c r="K29" s="322"/>
      <c r="L29" s="322"/>
      <c r="M29" s="1"/>
      <c r="N29" s="1"/>
      <c r="O29" s="1"/>
      <c r="P29" s="1"/>
      <c r="Q29" s="106"/>
      <c r="R29" s="1"/>
      <c r="S29" s="1"/>
      <c r="T29" s="1"/>
      <c r="U29" s="1"/>
      <c r="V29" s="1"/>
      <c r="W29" s="1"/>
      <c r="X29" s="105"/>
      <c r="Y29" s="105"/>
      <c r="Z29" s="105"/>
      <c r="AB29" s="108"/>
    </row>
    <row r="30" spans="2:32" ht="15.6">
      <c r="B30" s="20"/>
      <c r="C30" s="463" t="s">
        <v>151</v>
      </c>
      <c r="D30" s="465" t="s">
        <v>487</v>
      </c>
      <c r="G30" s="83"/>
      <c r="H30" s="315"/>
      <c r="I30" s="315"/>
      <c r="J30" s="315"/>
      <c r="K30" s="322"/>
      <c r="L30" s="322"/>
      <c r="M30" s="316"/>
      <c r="N30" s="316"/>
      <c r="O30" s="1"/>
      <c r="P30" s="1"/>
      <c r="Q30" s="106"/>
      <c r="R30" s="1"/>
      <c r="S30" s="1"/>
      <c r="T30" s="1"/>
      <c r="U30" s="1"/>
      <c r="V30" s="1"/>
      <c r="W30" s="1"/>
      <c r="X30" s="102"/>
      <c r="Y30" s="109"/>
      <c r="Z30" s="109"/>
    </row>
    <row r="31" spans="2:32" ht="15.6">
      <c r="B31" s="20" t="s">
        <v>482</v>
      </c>
      <c r="C31" s="461">
        <v>267288.27767325687</v>
      </c>
      <c r="D31" s="462">
        <v>3.9238548749807325E-2</v>
      </c>
      <c r="G31" s="237"/>
      <c r="H31" s="315"/>
      <c r="I31" s="315"/>
      <c r="J31" s="315"/>
      <c r="K31" s="322"/>
      <c r="L31" s="322"/>
      <c r="M31" s="316"/>
      <c r="N31" s="316"/>
      <c r="O31" s="1"/>
      <c r="P31" s="1"/>
      <c r="Q31" s="1"/>
      <c r="R31" s="1"/>
      <c r="S31" s="1"/>
      <c r="T31" s="1"/>
      <c r="U31" s="1"/>
      <c r="V31" s="1"/>
      <c r="W31" s="1"/>
      <c r="X31" s="105"/>
      <c r="Y31" s="105"/>
      <c r="Z31" s="105"/>
    </row>
    <row r="32" spans="2:32" ht="15.6">
      <c r="B32" s="460" t="s">
        <v>178</v>
      </c>
      <c r="C32" s="461">
        <v>248737.81077332402</v>
      </c>
      <c r="D32" s="462">
        <v>3.9835180012623581E-2</v>
      </c>
      <c r="G32" s="237"/>
      <c r="H32" s="4"/>
      <c r="I32" s="5"/>
      <c r="J32" s="20"/>
      <c r="K32" s="20"/>
      <c r="L32" s="20"/>
      <c r="M32" s="1"/>
      <c r="N32" s="1"/>
      <c r="O32" s="1"/>
      <c r="P32" s="1"/>
      <c r="Q32" s="1"/>
      <c r="R32" s="2"/>
      <c r="S32" s="2"/>
      <c r="T32" s="2"/>
      <c r="U32" s="2"/>
      <c r="V32" s="2"/>
      <c r="W32" s="2"/>
      <c r="X32" s="2"/>
      <c r="Y32" s="109"/>
      <c r="Z32" s="109"/>
      <c r="AA32" s="109"/>
    </row>
    <row r="33" spans="2:28" ht="15.6">
      <c r="B33" s="1"/>
      <c r="C33" s="90"/>
      <c r="D33" s="47"/>
      <c r="F33" s="1"/>
      <c r="G33" s="3"/>
      <c r="H33" s="4"/>
      <c r="I33" s="5"/>
      <c r="J33" s="20"/>
      <c r="K33" s="20"/>
      <c r="L33" s="20"/>
      <c r="M33" s="1"/>
      <c r="N33" s="1"/>
      <c r="O33" s="1"/>
      <c r="P33" s="1"/>
      <c r="Q33" s="1"/>
      <c r="R33" s="2"/>
      <c r="S33" s="2"/>
      <c r="T33" s="2"/>
      <c r="U33" s="2"/>
      <c r="V33" s="2"/>
      <c r="W33" s="2"/>
      <c r="X33" s="2"/>
      <c r="Y33" s="109"/>
      <c r="Z33" s="109"/>
      <c r="AA33" s="109"/>
      <c r="AB33" s="105"/>
    </row>
    <row r="34" spans="2:28" ht="15.6">
      <c r="D34" s="1"/>
      <c r="E34" s="1"/>
      <c r="F34" s="20"/>
      <c r="G34" s="3"/>
      <c r="H34" s="4"/>
      <c r="I34" s="5"/>
      <c r="J34" s="20"/>
      <c r="K34" s="20"/>
      <c r="L34" s="20"/>
      <c r="M34" s="1"/>
      <c r="N34" s="1"/>
      <c r="O34" s="1"/>
      <c r="P34" s="1"/>
      <c r="Q34" s="1"/>
      <c r="R34" s="2"/>
      <c r="S34" s="2"/>
      <c r="T34" s="2"/>
      <c r="U34" s="2"/>
      <c r="V34" s="2"/>
      <c r="W34" s="2"/>
      <c r="X34" s="2"/>
      <c r="Y34" s="105"/>
      <c r="Z34" s="105"/>
      <c r="AA34" s="109"/>
      <c r="AB34" s="105"/>
    </row>
    <row r="35" spans="2:28" ht="15.6">
      <c r="D35" s="1"/>
      <c r="E35" s="20"/>
      <c r="F35" s="1"/>
      <c r="G35" s="3"/>
      <c r="H35" s="4"/>
      <c r="I35" s="314"/>
      <c r="J35" s="20"/>
      <c r="K35" s="20"/>
      <c r="L35" s="20"/>
      <c r="M35" s="1"/>
      <c r="N35" s="1"/>
      <c r="O35" s="1"/>
      <c r="P35" s="1"/>
      <c r="Q35" s="1"/>
      <c r="R35" s="2"/>
      <c r="S35" s="2"/>
      <c r="T35" s="2"/>
      <c r="U35" s="2"/>
      <c r="V35" s="2"/>
      <c r="W35" s="2"/>
      <c r="X35" s="2"/>
      <c r="Y35" s="102"/>
      <c r="Z35" s="102"/>
      <c r="AA35" s="109"/>
      <c r="AB35" s="105"/>
    </row>
    <row r="36" spans="2:28" ht="15.6">
      <c r="B36" s="643"/>
      <c r="C36" s="640" t="s">
        <v>508</v>
      </c>
      <c r="D36" s="641"/>
      <c r="E36" s="642"/>
      <c r="F36" s="106"/>
      <c r="G36" s="3"/>
      <c r="H36" s="4"/>
      <c r="I36" s="314"/>
      <c r="J36" s="20"/>
      <c r="K36" s="20"/>
      <c r="L36" s="20"/>
      <c r="M36" s="1"/>
      <c r="N36" s="1"/>
      <c r="O36" s="1"/>
      <c r="P36" s="1"/>
      <c r="Q36" s="1"/>
      <c r="R36" s="2"/>
      <c r="S36" s="2"/>
      <c r="T36" s="2"/>
      <c r="U36" s="2"/>
      <c r="V36" s="2"/>
      <c r="W36" s="2"/>
      <c r="X36" s="2"/>
      <c r="Y36" s="105"/>
      <c r="Z36" s="105"/>
      <c r="AA36" s="109"/>
      <c r="AB36" s="109"/>
    </row>
    <row r="37" spans="2:28" ht="31.2">
      <c r="B37" s="645"/>
      <c r="C37" s="633" t="s">
        <v>339</v>
      </c>
      <c r="D37" s="633" t="s">
        <v>340</v>
      </c>
      <c r="E37" s="633" t="s">
        <v>341</v>
      </c>
      <c r="F37" s="106"/>
      <c r="G37" s="20"/>
      <c r="H37" s="20"/>
      <c r="I37" s="20"/>
      <c r="J37" s="20"/>
      <c r="K37" s="20"/>
      <c r="L37" s="20"/>
      <c r="M37" s="1"/>
      <c r="N37" s="1"/>
      <c r="O37" s="1"/>
      <c r="P37" s="1"/>
      <c r="Q37" s="1"/>
      <c r="R37" s="2"/>
      <c r="S37" s="2"/>
      <c r="T37" s="2"/>
      <c r="U37" s="2"/>
      <c r="V37" s="2"/>
      <c r="W37" s="2"/>
      <c r="X37" s="2"/>
      <c r="Y37" s="2"/>
      <c r="Z37" s="104"/>
      <c r="AA37" s="104"/>
      <c r="AB37" s="105"/>
    </row>
    <row r="38" spans="2:28" ht="15.6">
      <c r="B38" s="656" t="s">
        <v>396</v>
      </c>
      <c r="C38" s="237">
        <v>2442100.4570462531</v>
      </c>
      <c r="D38" s="237">
        <v>2479597.9733180017</v>
      </c>
      <c r="E38" s="657">
        <v>518117.44963314955</v>
      </c>
      <c r="F38" s="1"/>
      <c r="G38" s="20"/>
      <c r="H38" s="20"/>
      <c r="I38" s="20"/>
      <c r="J38" s="20"/>
      <c r="K38" s="20"/>
      <c r="L38" s="20"/>
      <c r="M38" s="1"/>
      <c r="N38" s="1"/>
      <c r="O38" s="1"/>
      <c r="P38" s="1"/>
      <c r="Q38" s="1"/>
      <c r="R38" s="2"/>
      <c r="S38" s="2"/>
      <c r="T38" s="2"/>
      <c r="U38" s="2"/>
      <c r="V38" s="2"/>
      <c r="W38" s="2"/>
      <c r="X38" s="2"/>
      <c r="Y38" s="2"/>
      <c r="Z38" s="104"/>
      <c r="AA38" s="109"/>
      <c r="AB38" s="104"/>
    </row>
    <row r="39" spans="2:28" ht="15.6">
      <c r="B39" s="106" t="s">
        <v>165</v>
      </c>
      <c r="C39" s="237">
        <v>17431428.835748378</v>
      </c>
      <c r="D39" s="237">
        <v>19476455.217814039</v>
      </c>
      <c r="E39" s="4">
        <v>3218717.0926473769</v>
      </c>
      <c r="F39" s="1"/>
      <c r="G39" s="20"/>
      <c r="H39" s="20"/>
      <c r="I39" s="20"/>
      <c r="J39" s="20"/>
      <c r="K39" s="20"/>
      <c r="L39" s="20"/>
      <c r="M39" s="1"/>
      <c r="N39" s="1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109"/>
      <c r="AA39" s="105"/>
      <c r="AB39" s="105"/>
    </row>
    <row r="40" spans="2:28" ht="15.6">
      <c r="B40" s="2"/>
      <c r="C40" s="2"/>
      <c r="E40" s="1"/>
      <c r="F40" s="1"/>
      <c r="G40" s="20"/>
      <c r="H40" s="20"/>
      <c r="I40" s="20"/>
      <c r="J40" s="20"/>
      <c r="K40" s="20"/>
      <c r="L40" s="20"/>
      <c r="M40" s="1"/>
      <c r="N40" s="1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109"/>
      <c r="AA40" s="109"/>
      <c r="AB40" s="105"/>
    </row>
    <row r="41" spans="2:28" ht="15.6">
      <c r="B41" s="2"/>
      <c r="C41" s="2"/>
      <c r="E41" s="1"/>
      <c r="F41" s="1"/>
      <c r="G41" s="20"/>
      <c r="H41" s="20"/>
      <c r="I41" s="20"/>
      <c r="J41" s="20"/>
      <c r="K41" s="20"/>
      <c r="L41" s="20"/>
      <c r="M41" s="1"/>
      <c r="N41" s="1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109"/>
      <c r="AA41" s="109"/>
      <c r="AB41" s="109"/>
    </row>
    <row r="42" spans="2:28" ht="15.6">
      <c r="B42" s="2"/>
      <c r="C42" s="2"/>
      <c r="E42" s="1"/>
      <c r="F42" s="1"/>
      <c r="G42" s="20"/>
      <c r="H42" s="20"/>
      <c r="I42" s="20"/>
      <c r="J42" s="20"/>
      <c r="K42" s="20"/>
      <c r="L42" s="20"/>
      <c r="M42" s="1"/>
      <c r="N42" s="1"/>
      <c r="O42" s="1"/>
      <c r="P42" s="1"/>
      <c r="Q42" s="1"/>
      <c r="R42" s="1"/>
      <c r="S42" s="1"/>
      <c r="T42" s="1"/>
      <c r="U42" s="103"/>
      <c r="V42" s="104"/>
      <c r="W42" s="104"/>
      <c r="X42" s="104"/>
      <c r="Y42" s="2"/>
      <c r="Z42" s="109"/>
      <c r="AA42" s="105"/>
      <c r="AB42" s="105"/>
    </row>
    <row r="43" spans="2:28" ht="15.6">
      <c r="B43" s="2"/>
      <c r="C43" s="2"/>
      <c r="D43" s="1"/>
      <c r="E43" s="1"/>
      <c r="F43" s="1"/>
      <c r="G43" s="20"/>
      <c r="H43" s="20"/>
      <c r="I43" s="20"/>
      <c r="J43" s="20"/>
      <c r="K43" s="20"/>
      <c r="L43" s="20"/>
      <c r="M43" s="1"/>
      <c r="N43" s="1"/>
      <c r="O43" s="1"/>
      <c r="P43" s="1"/>
      <c r="Q43" s="1"/>
      <c r="R43" s="1"/>
      <c r="S43" s="1"/>
      <c r="T43" s="1"/>
      <c r="U43" s="103"/>
      <c r="V43" s="567"/>
      <c r="W43" s="567"/>
      <c r="X43" s="104"/>
      <c r="Y43" s="2"/>
      <c r="Z43" s="109"/>
      <c r="AA43" s="102"/>
      <c r="AB43" s="105"/>
    </row>
    <row r="44" spans="2:28" ht="15.6">
      <c r="B44" s="2"/>
      <c r="C44" s="2"/>
      <c r="D44" s="1"/>
      <c r="E44" s="1"/>
      <c r="F44" s="1"/>
      <c r="G44" s="20"/>
      <c r="H44" s="20"/>
      <c r="I44" s="20"/>
      <c r="J44" s="20"/>
      <c r="K44" s="20"/>
      <c r="L44" s="20"/>
      <c r="M44" s="1"/>
      <c r="N44" s="1"/>
      <c r="O44" s="1"/>
      <c r="P44" s="1"/>
      <c r="Q44" s="1"/>
      <c r="R44" s="1"/>
      <c r="S44" s="1"/>
      <c r="T44" s="1"/>
      <c r="U44" s="103"/>
      <c r="V44" s="104"/>
      <c r="W44" s="103"/>
      <c r="X44" s="109"/>
      <c r="Y44" s="2"/>
      <c r="Z44" s="109"/>
      <c r="AA44" s="105"/>
      <c r="AB44" s="102"/>
    </row>
    <row r="45" spans="2:28" ht="15.6">
      <c r="B45" s="2"/>
      <c r="C45" s="2"/>
      <c r="D45" s="1"/>
      <c r="E45" s="1"/>
      <c r="F45" s="1"/>
      <c r="G45" s="20"/>
      <c r="H45" s="20"/>
      <c r="I45" s="20"/>
      <c r="J45" s="20"/>
      <c r="K45" s="20"/>
      <c r="L45" s="20"/>
      <c r="M45" s="1"/>
      <c r="N45" s="1"/>
      <c r="O45" s="1"/>
      <c r="P45" s="1"/>
      <c r="Q45" s="1"/>
      <c r="R45" s="1"/>
      <c r="S45" s="1"/>
      <c r="T45" s="1"/>
      <c r="U45" s="103"/>
      <c r="V45" s="104"/>
      <c r="W45" s="103"/>
      <c r="X45" s="109"/>
      <c r="Y45" s="2"/>
      <c r="Z45" s="102"/>
      <c r="AA45" s="104"/>
      <c r="AB45" s="105"/>
    </row>
    <row r="46" spans="2:28" ht="15.6">
      <c r="B46" s="2"/>
      <c r="C46" s="2"/>
      <c r="D46" s="1"/>
      <c r="E46" s="1"/>
      <c r="F46" s="1"/>
      <c r="G46" s="20"/>
      <c r="H46" s="20"/>
      <c r="I46" s="20"/>
      <c r="J46" s="20"/>
      <c r="K46" s="20"/>
      <c r="L46" s="20"/>
      <c r="M46" s="1"/>
      <c r="N46" s="1"/>
      <c r="O46" s="1"/>
      <c r="P46" s="1"/>
      <c r="Q46" s="1"/>
      <c r="R46" s="1"/>
      <c r="S46" s="1"/>
      <c r="T46" s="1"/>
      <c r="U46" s="103"/>
      <c r="V46" s="104"/>
      <c r="W46" s="104"/>
      <c r="X46" s="102"/>
      <c r="Y46" s="2"/>
      <c r="Z46" s="109"/>
      <c r="AA46" s="104"/>
      <c r="AB46" s="104"/>
    </row>
    <row r="47" spans="2:28" ht="15.6">
      <c r="B47" s="2"/>
      <c r="C47" s="2"/>
      <c r="D47" s="1"/>
      <c r="E47" s="1"/>
      <c r="F47" s="1"/>
      <c r="G47" s="20"/>
      <c r="H47" s="20"/>
      <c r="I47" s="20"/>
      <c r="J47" s="20"/>
      <c r="K47" s="20"/>
      <c r="L47" s="20"/>
      <c r="M47" s="1"/>
      <c r="N47" s="1"/>
      <c r="O47" s="1"/>
      <c r="P47" s="1"/>
      <c r="Q47" s="1"/>
      <c r="R47" s="1"/>
      <c r="S47" s="1"/>
      <c r="T47" s="1"/>
      <c r="U47" s="103"/>
      <c r="V47" s="104"/>
      <c r="W47" s="103"/>
      <c r="X47" s="109"/>
      <c r="Y47" s="104"/>
      <c r="Z47" s="104"/>
      <c r="AA47" s="105"/>
      <c r="AB47" s="104"/>
    </row>
    <row r="48" spans="2:28" ht="15.6">
      <c r="B48" s="2"/>
      <c r="C48" s="2"/>
      <c r="D48" s="1"/>
      <c r="E48" s="1"/>
      <c r="F48" s="1"/>
      <c r="G48" s="20"/>
      <c r="H48" s="20"/>
      <c r="I48" s="20"/>
      <c r="J48" s="20"/>
      <c r="K48" s="20"/>
      <c r="L48" s="20"/>
      <c r="M48" s="1"/>
      <c r="N48" s="1"/>
      <c r="O48" s="1"/>
      <c r="P48" s="1"/>
      <c r="Q48" s="1"/>
      <c r="R48" s="1"/>
      <c r="S48" s="1"/>
      <c r="T48" s="1"/>
      <c r="U48" s="103"/>
      <c r="V48" s="104"/>
      <c r="W48" s="104"/>
      <c r="X48" s="104"/>
      <c r="Y48" s="104"/>
      <c r="Z48" s="104"/>
      <c r="AA48" s="105"/>
      <c r="AB48" s="105"/>
    </row>
    <row r="49" spans="2:28" ht="15.6">
      <c r="B49" s="2"/>
      <c r="C49" s="2"/>
      <c r="D49" s="1"/>
      <c r="E49" s="1"/>
      <c r="F49" s="1"/>
      <c r="G49" s="20"/>
      <c r="H49" s="20"/>
      <c r="I49" s="20"/>
      <c r="J49" s="20"/>
      <c r="K49" s="20"/>
      <c r="L49" s="20"/>
      <c r="M49" s="1"/>
      <c r="N49" s="1"/>
      <c r="O49" s="1"/>
      <c r="P49" s="1"/>
      <c r="Q49" s="1"/>
      <c r="R49" s="1"/>
      <c r="S49" s="1"/>
      <c r="T49" s="1"/>
      <c r="U49" s="103"/>
      <c r="V49" s="567"/>
      <c r="W49" s="567"/>
      <c r="X49" s="104"/>
      <c r="Y49" s="109"/>
      <c r="Z49" s="109"/>
      <c r="AA49" s="105"/>
      <c r="AB49" s="105"/>
    </row>
    <row r="50" spans="2:28" ht="15.6">
      <c r="B50" s="2"/>
      <c r="C50" s="2"/>
      <c r="D50" s="1"/>
      <c r="E50" s="1"/>
      <c r="F50" s="1"/>
      <c r="G50" s="20"/>
      <c r="H50" s="20"/>
      <c r="I50" s="20"/>
      <c r="J50" s="20"/>
      <c r="K50" s="20"/>
      <c r="L50" s="20"/>
      <c r="M50" s="1"/>
      <c r="N50" s="1"/>
      <c r="O50" s="1"/>
      <c r="P50" s="1"/>
      <c r="Q50" s="1"/>
      <c r="R50" s="1"/>
      <c r="S50" s="1"/>
      <c r="T50" s="1"/>
      <c r="U50" s="103"/>
      <c r="V50" s="104"/>
      <c r="W50" s="103"/>
      <c r="X50" s="109"/>
      <c r="Y50" s="109"/>
      <c r="Z50" s="109"/>
      <c r="AA50" s="109"/>
      <c r="AB50" s="105"/>
    </row>
    <row r="51" spans="2:28" ht="15.6">
      <c r="B51" s="2"/>
      <c r="C51" s="2"/>
      <c r="D51" s="1"/>
      <c r="E51" s="1"/>
      <c r="F51" s="1"/>
      <c r="G51" s="20"/>
      <c r="H51" s="20"/>
      <c r="I51" s="20"/>
      <c r="J51" s="20"/>
      <c r="K51" s="20"/>
      <c r="L51" s="20"/>
      <c r="M51" s="1"/>
      <c r="N51" s="1"/>
      <c r="O51" s="1"/>
      <c r="P51" s="1"/>
      <c r="Q51" s="1"/>
      <c r="R51" s="1"/>
      <c r="S51" s="1"/>
      <c r="T51" s="1"/>
      <c r="U51" s="103"/>
      <c r="V51" s="104"/>
      <c r="W51" s="103"/>
      <c r="X51" s="109"/>
      <c r="Y51" s="102"/>
      <c r="Z51" s="102"/>
      <c r="AA51" s="109"/>
      <c r="AB51" s="105"/>
    </row>
    <row r="52" spans="2:28" ht="15.6">
      <c r="B52" s="2"/>
      <c r="C52" s="2"/>
      <c r="D52" s="1"/>
      <c r="E52" s="1"/>
      <c r="F52" s="1"/>
      <c r="G52" s="20"/>
      <c r="H52" s="20"/>
      <c r="I52" s="20"/>
      <c r="J52" s="20"/>
      <c r="K52" s="20"/>
      <c r="L52" s="20"/>
      <c r="M52" s="1"/>
      <c r="N52" s="1"/>
      <c r="O52" s="1"/>
      <c r="P52" s="1"/>
      <c r="Q52" s="1"/>
      <c r="R52" s="1"/>
      <c r="S52" s="1"/>
      <c r="T52" s="1"/>
      <c r="U52" s="103"/>
      <c r="V52" s="104"/>
      <c r="W52" s="103"/>
      <c r="X52" s="105"/>
      <c r="Y52" s="109"/>
      <c r="Z52" s="109"/>
      <c r="AA52" s="105"/>
      <c r="AB52" s="105"/>
    </row>
    <row r="53" spans="2:28" ht="15.6">
      <c r="B53" s="2"/>
      <c r="C53" s="2"/>
      <c r="D53" s="1"/>
      <c r="E53" s="1"/>
      <c r="F53" s="1"/>
      <c r="G53" s="20"/>
      <c r="H53" s="20"/>
      <c r="I53" s="20"/>
      <c r="J53" s="20"/>
      <c r="K53" s="20"/>
      <c r="L53" s="20"/>
      <c r="M53" s="1"/>
      <c r="N53" s="1"/>
      <c r="O53" s="1"/>
      <c r="P53" s="1"/>
      <c r="Q53" s="1"/>
      <c r="R53" s="1"/>
      <c r="S53" s="1"/>
      <c r="T53" s="1"/>
      <c r="U53" s="103"/>
      <c r="V53" s="104"/>
      <c r="W53" s="103"/>
      <c r="X53" s="109"/>
      <c r="Y53" s="104"/>
      <c r="Z53" s="104"/>
      <c r="AA53" s="102"/>
      <c r="AB53" s="105"/>
    </row>
    <row r="54" spans="2:28" ht="15.6">
      <c r="B54" s="2"/>
      <c r="C54" s="2"/>
      <c r="D54" s="1"/>
      <c r="E54" s="1"/>
      <c r="F54" s="1"/>
      <c r="G54" s="20"/>
      <c r="H54" s="20"/>
      <c r="I54" s="20"/>
      <c r="J54" s="20"/>
      <c r="K54" s="20"/>
      <c r="L54" s="20"/>
      <c r="M54" s="1"/>
      <c r="N54" s="1"/>
      <c r="O54" s="1"/>
      <c r="P54" s="1"/>
      <c r="Q54" s="1"/>
      <c r="R54" s="1"/>
      <c r="S54" s="1"/>
      <c r="T54" s="1"/>
      <c r="U54" s="103"/>
      <c r="V54" s="104"/>
      <c r="W54" s="103"/>
      <c r="X54" s="109"/>
      <c r="Y54" s="104"/>
      <c r="Z54" s="104"/>
      <c r="AA54" s="105"/>
      <c r="AB54" s="102"/>
    </row>
    <row r="55" spans="2:28" ht="15.6">
      <c r="B55" s="2"/>
      <c r="C55" s="2"/>
      <c r="D55" s="1"/>
      <c r="E55" s="1"/>
      <c r="F55" s="1"/>
      <c r="G55" s="20"/>
      <c r="H55" s="20"/>
      <c r="I55" s="20"/>
      <c r="J55" s="20"/>
      <c r="K55" s="20"/>
      <c r="L55" s="20"/>
      <c r="M55" s="1"/>
      <c r="N55" s="1"/>
      <c r="O55" s="1"/>
      <c r="P55" s="1"/>
      <c r="Q55" s="1"/>
      <c r="R55" s="1"/>
      <c r="S55" s="1"/>
      <c r="T55" s="1"/>
      <c r="U55" s="103"/>
      <c r="V55" s="104"/>
      <c r="W55" s="104"/>
      <c r="X55" s="102"/>
      <c r="Y55" s="109"/>
      <c r="Z55" s="109"/>
      <c r="AA55" s="104"/>
      <c r="AB55" s="105"/>
    </row>
    <row r="56" spans="2:28" ht="15.6">
      <c r="B56" s="1"/>
      <c r="C56" s="1"/>
      <c r="D56" s="1"/>
      <c r="E56" s="1"/>
      <c r="F56" s="1"/>
      <c r="G56" s="20"/>
      <c r="H56" s="20"/>
      <c r="I56" s="20"/>
      <c r="J56" s="20"/>
      <c r="K56" s="20"/>
      <c r="L56" s="20"/>
      <c r="M56" s="1"/>
      <c r="N56" s="1"/>
      <c r="O56" s="1"/>
      <c r="P56" s="1"/>
      <c r="Q56" s="1"/>
      <c r="R56" s="1"/>
      <c r="S56" s="1"/>
      <c r="T56" s="1"/>
      <c r="U56" s="103"/>
      <c r="V56" s="104"/>
      <c r="W56" s="103"/>
      <c r="X56" s="105"/>
      <c r="Y56" s="109"/>
      <c r="Z56" s="109"/>
      <c r="AA56" s="104"/>
      <c r="AB56" s="104"/>
    </row>
    <row r="57" spans="2:28" ht="15.6">
      <c r="B57" s="1"/>
      <c r="C57" s="1"/>
      <c r="D57" s="1"/>
      <c r="E57" s="1"/>
      <c r="F57" s="1"/>
      <c r="G57" s="20"/>
      <c r="H57" s="20"/>
      <c r="I57" s="20"/>
      <c r="J57" s="20"/>
      <c r="K57" s="20"/>
      <c r="L57" s="20"/>
      <c r="M57" s="1"/>
      <c r="N57" s="1"/>
      <c r="O57" s="1"/>
      <c r="P57" s="1"/>
      <c r="Q57" s="1"/>
      <c r="R57" s="1"/>
      <c r="S57" s="1"/>
      <c r="T57" s="1"/>
      <c r="U57" s="103"/>
      <c r="V57" s="104"/>
      <c r="W57" s="104"/>
      <c r="X57" s="104"/>
      <c r="Y57" s="105"/>
      <c r="Z57" s="105"/>
      <c r="AA57" s="109"/>
      <c r="AB57" s="104"/>
    </row>
    <row r="58" spans="2:28" ht="15.6">
      <c r="B58" s="1"/>
      <c r="C58" s="1"/>
      <c r="D58" s="1"/>
      <c r="E58" s="1"/>
      <c r="F58" s="1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03"/>
      <c r="V58" s="104"/>
      <c r="W58" s="104"/>
      <c r="X58" s="104"/>
      <c r="Y58" s="109"/>
      <c r="Z58" s="109"/>
      <c r="AA58" s="109"/>
      <c r="AB58" s="105"/>
    </row>
    <row r="59" spans="2:28" ht="15.6">
      <c r="B59" s="1"/>
      <c r="C59" s="1"/>
      <c r="D59" s="1"/>
      <c r="E59" s="1"/>
      <c r="F59" s="1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03"/>
      <c r="V59" s="104"/>
      <c r="W59" s="103"/>
      <c r="X59" s="105"/>
      <c r="Y59" s="109"/>
      <c r="Z59" s="109"/>
      <c r="AA59" s="102"/>
      <c r="AB59" s="105"/>
    </row>
    <row r="60" spans="2:28" ht="15.6">
      <c r="B60" s="1"/>
      <c r="C60" s="1"/>
      <c r="D60" s="1"/>
      <c r="E60" s="1"/>
      <c r="F60" s="1"/>
      <c r="G60" s="20"/>
      <c r="H60" s="20"/>
      <c r="I60" s="20"/>
      <c r="J60" s="20"/>
      <c r="K60" s="20"/>
      <c r="L60" s="20"/>
      <c r="M60" s="1"/>
      <c r="N60" s="1"/>
      <c r="O60" s="1"/>
      <c r="P60" s="1"/>
      <c r="Q60" s="1"/>
      <c r="R60" s="1"/>
      <c r="S60" s="1"/>
      <c r="T60" s="1"/>
      <c r="U60" s="103"/>
      <c r="V60" s="104"/>
      <c r="W60" s="104"/>
      <c r="X60" s="102"/>
      <c r="Y60" s="102"/>
      <c r="Z60" s="102"/>
      <c r="AA60" s="109"/>
      <c r="AB60" s="102"/>
    </row>
    <row r="61" spans="2:28" ht="15.6">
      <c r="B61" s="1"/>
      <c r="C61" s="1"/>
      <c r="D61" s="1"/>
      <c r="E61" s="1"/>
      <c r="F61" s="1"/>
      <c r="G61" s="20"/>
      <c r="H61" s="20"/>
      <c r="I61" s="20"/>
      <c r="J61" s="20"/>
      <c r="K61" s="20"/>
      <c r="L61" s="20"/>
      <c r="M61" s="1"/>
      <c r="N61" s="1"/>
      <c r="O61" s="1"/>
      <c r="P61" s="1"/>
      <c r="Q61" s="1"/>
      <c r="R61" s="1"/>
      <c r="S61" s="1"/>
      <c r="T61" s="1"/>
      <c r="U61" s="103"/>
      <c r="V61" s="567"/>
      <c r="W61" s="567"/>
      <c r="X61" s="104"/>
      <c r="Y61" s="105"/>
      <c r="Z61" s="105"/>
      <c r="AA61" s="104"/>
      <c r="AB61" s="105"/>
    </row>
    <row r="62" spans="2:28" ht="15.6">
      <c r="B62" s="1"/>
      <c r="C62" s="1"/>
      <c r="D62" s="1"/>
      <c r="E62" s="1"/>
      <c r="F62" s="1"/>
      <c r="G62" s="20"/>
      <c r="H62" s="20"/>
      <c r="I62" s="20"/>
      <c r="J62" s="20"/>
      <c r="K62" s="20"/>
      <c r="L62" s="20"/>
      <c r="M62" s="1"/>
      <c r="N62" s="1"/>
      <c r="O62" s="1"/>
      <c r="P62" s="1"/>
      <c r="Q62" s="1"/>
      <c r="R62" s="1"/>
      <c r="S62" s="1"/>
      <c r="T62" s="1"/>
      <c r="U62" s="103"/>
      <c r="V62" s="104"/>
      <c r="W62" s="104"/>
      <c r="X62" s="104"/>
      <c r="Y62" s="104"/>
      <c r="Z62" s="104"/>
      <c r="AA62" s="104"/>
      <c r="AB62" s="104"/>
    </row>
    <row r="63" spans="2:28" ht="15.6">
      <c r="B63" s="1"/>
      <c r="C63" s="1"/>
      <c r="D63" s="1"/>
      <c r="E63" s="1"/>
      <c r="F63" s="1"/>
      <c r="G63" s="20"/>
      <c r="H63" s="20"/>
      <c r="I63" s="20"/>
      <c r="J63" s="20"/>
      <c r="K63" s="20"/>
      <c r="L63" s="20"/>
      <c r="M63" s="1"/>
      <c r="N63" s="1"/>
      <c r="O63" s="1"/>
      <c r="P63" s="1"/>
      <c r="Q63" s="1"/>
      <c r="R63" s="1"/>
      <c r="S63" s="1"/>
      <c r="T63" s="1"/>
      <c r="U63" s="103"/>
      <c r="V63" s="104"/>
      <c r="W63" s="103"/>
      <c r="X63" s="104"/>
      <c r="Y63" s="104"/>
      <c r="Z63" s="104"/>
      <c r="AA63" s="109"/>
      <c r="AB63" s="104"/>
    </row>
    <row r="64" spans="2:28" ht="15.6">
      <c r="B64" s="1"/>
      <c r="C64" s="1"/>
      <c r="D64" s="1"/>
      <c r="E64" s="1"/>
      <c r="F64" s="1"/>
      <c r="G64" s="20"/>
      <c r="H64" s="20"/>
      <c r="I64" s="20"/>
      <c r="J64" s="20"/>
      <c r="K64" s="20"/>
      <c r="L64" s="20"/>
      <c r="M64" s="1"/>
      <c r="N64" s="1"/>
      <c r="O64" s="1"/>
      <c r="P64" s="1"/>
      <c r="Q64" s="1"/>
      <c r="R64" s="1"/>
      <c r="S64" s="1"/>
      <c r="T64" s="1"/>
      <c r="U64" s="103"/>
      <c r="V64" s="104"/>
      <c r="W64" s="104"/>
      <c r="X64" s="102"/>
      <c r="Y64" s="105"/>
      <c r="Z64" s="105"/>
      <c r="AA64" s="109"/>
      <c r="AB64" s="105"/>
    </row>
    <row r="65" spans="2:28" ht="15.6">
      <c r="B65" s="1"/>
      <c r="C65" s="1"/>
      <c r="D65" s="1"/>
      <c r="E65" s="1"/>
      <c r="F65" s="1"/>
      <c r="G65" s="20"/>
      <c r="H65" s="20"/>
      <c r="I65" s="20"/>
      <c r="J65" s="20"/>
      <c r="K65" s="20"/>
      <c r="L65" s="20"/>
      <c r="M65" s="1"/>
      <c r="N65" s="1"/>
      <c r="O65" s="1"/>
      <c r="P65" s="1"/>
      <c r="Q65" s="1"/>
      <c r="R65" s="1"/>
      <c r="S65" s="1"/>
      <c r="T65" s="1"/>
      <c r="U65" s="103"/>
      <c r="V65" s="104"/>
      <c r="W65" s="103"/>
      <c r="X65" s="104"/>
      <c r="Y65" s="102"/>
      <c r="Z65" s="102"/>
      <c r="AA65" s="109"/>
      <c r="AB65" s="105"/>
    </row>
    <row r="66" spans="2:28" ht="15.6">
      <c r="B66" s="1"/>
      <c r="C66" s="1"/>
      <c r="D66" s="1"/>
      <c r="E66" s="1"/>
      <c r="F66" s="1"/>
      <c r="G66" s="20"/>
      <c r="H66" s="20"/>
      <c r="I66" s="20"/>
      <c r="J66" s="20"/>
      <c r="K66" s="20"/>
      <c r="L66" s="20"/>
      <c r="M66" s="1"/>
      <c r="N66" s="1"/>
      <c r="O66" s="1"/>
      <c r="P66" s="1"/>
      <c r="Q66" s="1"/>
      <c r="R66" s="1"/>
      <c r="S66" s="1"/>
      <c r="T66" s="1"/>
      <c r="U66" s="103"/>
      <c r="V66" s="104"/>
      <c r="W66" s="104"/>
      <c r="X66" s="104"/>
      <c r="Y66" s="104"/>
      <c r="Z66" s="104"/>
      <c r="AA66" s="109"/>
      <c r="AB66" s="105"/>
    </row>
    <row r="67" spans="2:28" ht="15.6">
      <c r="B67" s="1"/>
      <c r="C67" s="1"/>
      <c r="D67" s="1"/>
      <c r="E67" s="1"/>
      <c r="F67" s="1"/>
      <c r="G67" s="20"/>
      <c r="H67" s="20"/>
      <c r="I67" s="20"/>
      <c r="J67" s="20"/>
      <c r="K67" s="20"/>
      <c r="L67" s="20"/>
      <c r="M67" s="1"/>
      <c r="N67" s="1"/>
      <c r="O67" s="1"/>
      <c r="P67" s="1"/>
      <c r="Q67" s="1"/>
      <c r="R67" s="1"/>
      <c r="S67" s="1"/>
      <c r="T67" s="1"/>
      <c r="U67" s="103"/>
      <c r="V67" s="104"/>
      <c r="W67" s="104"/>
      <c r="X67" s="102"/>
      <c r="Y67" s="104"/>
      <c r="Z67" s="104"/>
      <c r="AA67" s="109"/>
      <c r="AB67" s="109"/>
    </row>
    <row r="68" spans="2:28" ht="15.6">
      <c r="B68" s="1"/>
      <c r="C68" s="1"/>
      <c r="D68" s="1"/>
      <c r="E68" s="1"/>
      <c r="F68" s="1"/>
      <c r="G68" s="20"/>
      <c r="H68" s="20"/>
      <c r="I68" s="20"/>
      <c r="J68" s="20"/>
      <c r="K68" s="20"/>
      <c r="L68" s="20"/>
      <c r="M68" s="1"/>
      <c r="N68" s="1"/>
      <c r="O68" s="1"/>
      <c r="P68" s="1"/>
      <c r="Q68" s="1"/>
      <c r="R68" s="1"/>
      <c r="S68" s="1"/>
      <c r="T68" s="1"/>
      <c r="U68" s="103"/>
      <c r="V68" s="567"/>
      <c r="W68" s="567"/>
      <c r="X68" s="105"/>
      <c r="Y68" s="104"/>
      <c r="Z68" s="104"/>
      <c r="AA68" s="102"/>
      <c r="AB68" s="109"/>
    </row>
    <row r="69" spans="2:28" ht="15.6">
      <c r="B69" s="1"/>
      <c r="C69" s="1"/>
      <c r="D69" s="1"/>
      <c r="E69" s="1"/>
      <c r="F69" s="1"/>
      <c r="G69" s="20"/>
      <c r="H69" s="20"/>
      <c r="I69" s="20"/>
      <c r="J69" s="20"/>
      <c r="K69" s="20"/>
      <c r="L69" s="2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02"/>
      <c r="Z69" s="102"/>
      <c r="AA69" s="109"/>
      <c r="AB69" s="102"/>
    </row>
    <row r="70" spans="2:28" ht="15.6">
      <c r="B70" s="1"/>
      <c r="C70" s="1"/>
      <c r="D70" s="1"/>
      <c r="E70" s="1"/>
      <c r="F70" s="1"/>
      <c r="Y70" s="104"/>
      <c r="Z70" s="104"/>
      <c r="AA70" s="104"/>
      <c r="AB70" s="105"/>
    </row>
    <row r="71" spans="2:28" ht="15.6">
      <c r="B71" s="1"/>
      <c r="C71" s="1"/>
      <c r="D71" s="1"/>
      <c r="E71" s="1"/>
      <c r="F71" s="1"/>
      <c r="Y71" s="104"/>
      <c r="Z71" s="104"/>
      <c r="AA71" s="104"/>
      <c r="AB71" s="104"/>
    </row>
    <row r="72" spans="2:28" ht="15.6">
      <c r="B72" s="1"/>
      <c r="C72" s="1"/>
      <c r="D72" s="1"/>
      <c r="E72" s="1"/>
      <c r="F72" s="1"/>
      <c r="Y72" s="102"/>
      <c r="Z72" s="102"/>
      <c r="AA72" s="105"/>
      <c r="AB72" s="104"/>
    </row>
    <row r="73" spans="2:28" ht="15.6">
      <c r="B73" s="1"/>
      <c r="C73" s="1"/>
      <c r="D73" s="1"/>
      <c r="E73" s="1"/>
      <c r="F73" s="1"/>
      <c r="Y73" s="105"/>
      <c r="Z73" s="105"/>
      <c r="AA73" s="102"/>
      <c r="AB73" s="105"/>
    </row>
    <row r="74" spans="2:28" ht="15.6">
      <c r="B74" s="1"/>
      <c r="C74" s="1"/>
      <c r="D74" s="1"/>
      <c r="E74" s="1"/>
      <c r="F74" s="1"/>
      <c r="Y74" s="1"/>
      <c r="Z74" s="1"/>
      <c r="AA74" s="104"/>
      <c r="AB74" s="102"/>
    </row>
    <row r="75" spans="2:28" ht="15.6">
      <c r="B75" s="1"/>
      <c r="C75" s="1"/>
      <c r="D75" s="1"/>
      <c r="E75" s="1"/>
      <c r="AA75" s="104"/>
      <c r="AB75" s="104"/>
    </row>
    <row r="76" spans="2:28" ht="15.6">
      <c r="B76" s="1"/>
      <c r="C76" s="1"/>
      <c r="D76" s="1"/>
      <c r="AA76" s="104"/>
      <c r="AB76" s="104"/>
    </row>
    <row r="77" spans="2:28" ht="15.6">
      <c r="B77" s="1"/>
      <c r="C77" s="1"/>
      <c r="D77" s="1"/>
      <c r="AA77" s="102"/>
      <c r="AB77" s="104"/>
    </row>
    <row r="78" spans="2:28" ht="15.6">
      <c r="B78" s="1"/>
      <c r="C78" s="1"/>
      <c r="D78" s="1"/>
      <c r="AA78" s="104"/>
      <c r="AB78" s="102"/>
    </row>
    <row r="79" spans="2:28" ht="15.6">
      <c r="B79" s="1"/>
      <c r="C79" s="1"/>
      <c r="D79" s="1"/>
      <c r="AA79" s="104"/>
      <c r="AB79" s="104"/>
    </row>
    <row r="80" spans="2:28" ht="15.6">
      <c r="B80" s="1"/>
      <c r="C80" s="1"/>
      <c r="D80" s="1"/>
      <c r="AA80" s="102"/>
      <c r="AB80" s="104"/>
    </row>
    <row r="81" spans="2:28" ht="15.6">
      <c r="B81" s="1"/>
      <c r="C81" s="1"/>
      <c r="D81" s="1"/>
      <c r="AA81" s="105"/>
      <c r="AB81" s="102"/>
    </row>
    <row r="82" spans="2:28" ht="15.6">
      <c r="B82" s="1"/>
      <c r="C82" s="1"/>
      <c r="D82" s="1"/>
      <c r="AA82" s="1"/>
      <c r="AB82" s="105"/>
    </row>
    <row r="83" spans="2:28" ht="15.6">
      <c r="B83" s="1"/>
      <c r="C83" s="1"/>
      <c r="D83" s="1"/>
      <c r="AB83" s="1"/>
    </row>
    <row r="84" spans="2:28" ht="15.6">
      <c r="B84" s="1"/>
      <c r="C84" s="1"/>
      <c r="D84" s="1"/>
    </row>
  </sheetData>
  <autoFilter ref="A1:AE83" xr:uid="{D2A1145E-5B3D-42A6-AF79-8205DD936E8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hiddenButton="1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20">
    <mergeCell ref="V61:W61"/>
    <mergeCell ref="V68:W68"/>
    <mergeCell ref="X17:Y17"/>
    <mergeCell ref="AA16:AA17"/>
    <mergeCell ref="X16:Y16"/>
    <mergeCell ref="Z16:Z17"/>
    <mergeCell ref="V17:W17"/>
    <mergeCell ref="AC24:AD24"/>
    <mergeCell ref="AE24:AF24"/>
    <mergeCell ref="V43:W43"/>
    <mergeCell ref="V49:W49"/>
    <mergeCell ref="G22:L22"/>
    <mergeCell ref="Q22:W22"/>
    <mergeCell ref="C36:E36"/>
    <mergeCell ref="H17:U17"/>
    <mergeCell ref="C2:D2"/>
    <mergeCell ref="V16:W16"/>
    <mergeCell ref="H4:U4"/>
    <mergeCell ref="H8:U8"/>
    <mergeCell ref="C23:E2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D443-B89B-4C0D-A76B-F85E3BB6BDB0}">
  <dimension ref="A1:AE40"/>
  <sheetViews>
    <sheetView zoomScale="80" zoomScaleNormal="80" workbookViewId="0"/>
  </sheetViews>
  <sheetFormatPr defaultColWidth="8.88671875" defaultRowHeight="14.4"/>
  <cols>
    <col min="1" max="1" width="7.44140625" style="6" customWidth="1"/>
    <col min="2" max="2" width="18.6640625" style="6" customWidth="1"/>
    <col min="3" max="3" width="15.33203125" style="6" customWidth="1"/>
    <col min="4" max="4" width="16" style="6" customWidth="1"/>
    <col min="5" max="5" width="18" style="6" bestFit="1" customWidth="1"/>
    <col min="6" max="6" width="15.33203125" style="6" customWidth="1"/>
    <col min="7" max="7" width="16.5546875" style="6" customWidth="1"/>
    <col min="8" max="8" width="16.109375" style="6" customWidth="1"/>
    <col min="9" max="9" width="15" style="6" customWidth="1"/>
    <col min="10" max="10" width="16" style="6" customWidth="1"/>
    <col min="11" max="11" width="15" style="6" bestFit="1" customWidth="1"/>
    <col min="12" max="12" width="13" style="6" customWidth="1"/>
    <col min="13" max="13" width="14.109375" style="6" customWidth="1"/>
    <col min="14" max="14" width="17.6640625" style="6" customWidth="1"/>
    <col min="15" max="15" width="19.33203125" style="6" customWidth="1"/>
    <col min="16" max="16" width="13.33203125" style="6" bestFit="1" customWidth="1"/>
    <col min="17" max="17" width="13" style="6" customWidth="1"/>
    <col min="18" max="18" width="13.5546875" style="6" customWidth="1"/>
    <col min="19" max="19" width="14" style="6" customWidth="1"/>
    <col min="20" max="20" width="15.5546875" style="6" customWidth="1"/>
    <col min="21" max="21" width="16.5546875" style="6" customWidth="1"/>
    <col min="22" max="23" width="14" style="6" customWidth="1"/>
    <col min="24" max="24" width="31.88671875" style="6" customWidth="1"/>
    <col min="25" max="25" width="14.88671875" style="6" bestFit="1" customWidth="1"/>
    <col min="26" max="26" width="13.5546875" style="6" bestFit="1" customWidth="1"/>
    <col min="27" max="27" width="13.5546875" style="6" customWidth="1"/>
    <col min="28" max="28" width="8.88671875" style="6"/>
    <col min="29" max="31" width="20.5546875" style="6" customWidth="1"/>
    <col min="32" max="16384" width="8.88671875" style="6"/>
  </cols>
  <sheetData>
    <row r="1" spans="1:31" s="171" customFormat="1" ht="25.5" customHeight="1">
      <c r="A1" s="418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</row>
    <row r="2" spans="1:31">
      <c r="A2" s="87"/>
      <c r="B2" s="582"/>
      <c r="C2" s="582"/>
      <c r="D2" s="582"/>
      <c r="F2" s="87"/>
    </row>
    <row r="3" spans="1:31">
      <c r="E3" s="659" t="s">
        <v>397</v>
      </c>
      <c r="F3" s="659"/>
      <c r="G3" s="659"/>
      <c r="H3" s="659"/>
      <c r="I3" s="659"/>
      <c r="J3" s="659"/>
      <c r="K3" s="659"/>
      <c r="M3" s="110"/>
      <c r="N3" s="110"/>
      <c r="O3" s="110"/>
      <c r="P3" s="254"/>
      <c r="Q3" s="254"/>
      <c r="R3" s="254"/>
      <c r="S3" s="254"/>
      <c r="T3" s="254"/>
      <c r="U3" s="254"/>
      <c r="V3" s="254"/>
    </row>
    <row r="4" spans="1:31" ht="15.75" customHeight="1">
      <c r="D4" s="148"/>
      <c r="E4" s="148">
        <v>2025</v>
      </c>
      <c r="F4" s="427" t="str">
        <f>Summary!I2</f>
        <v>10/1/25</v>
      </c>
      <c r="G4" s="178" t="str">
        <f>F4</f>
        <v>10/1/25</v>
      </c>
      <c r="H4" s="111" t="s">
        <v>178</v>
      </c>
      <c r="I4" s="111" t="s">
        <v>178</v>
      </c>
      <c r="J4" s="111" t="s">
        <v>178</v>
      </c>
      <c r="K4" s="111" t="s">
        <v>178</v>
      </c>
      <c r="L4" s="20"/>
      <c r="O4" s="1"/>
      <c r="P4" s="148"/>
      <c r="Q4" s="178"/>
      <c r="R4" s="178"/>
      <c r="S4" s="111"/>
      <c r="T4" s="111"/>
      <c r="U4" s="111"/>
      <c r="V4" s="111"/>
    </row>
    <row r="5" spans="1:31" ht="30.75" customHeight="1">
      <c r="E5" s="111" t="s">
        <v>266</v>
      </c>
      <c r="F5" s="111" t="s">
        <v>179</v>
      </c>
      <c r="G5" s="111" t="s">
        <v>180</v>
      </c>
      <c r="H5" s="111" t="s">
        <v>181</v>
      </c>
      <c r="I5" s="111" t="s">
        <v>182</v>
      </c>
      <c r="J5" s="111" t="s">
        <v>183</v>
      </c>
      <c r="K5" s="111" t="s">
        <v>184</v>
      </c>
      <c r="L5" s="83"/>
      <c r="M5" s="112"/>
      <c r="N5" s="112"/>
      <c r="O5" s="83"/>
      <c r="P5" s="111"/>
      <c r="Q5" s="111"/>
      <c r="R5" s="111"/>
      <c r="S5" s="111"/>
      <c r="T5" s="111"/>
      <c r="U5" s="111"/>
      <c r="V5" s="111"/>
    </row>
    <row r="6" spans="1:31" ht="42" customHeight="1">
      <c r="B6" s="113"/>
      <c r="D6" s="113"/>
      <c r="E6" s="1"/>
      <c r="F6" s="1"/>
      <c r="G6" s="1"/>
      <c r="J6" s="20"/>
      <c r="K6" s="20"/>
      <c r="L6" s="20"/>
      <c r="O6" s="113"/>
      <c r="P6" s="1"/>
      <c r="Q6" s="1"/>
      <c r="R6" s="1"/>
      <c r="U6" s="20"/>
      <c r="V6" s="20"/>
      <c r="AD6" s="47"/>
      <c r="AE6" s="47"/>
    </row>
    <row r="7" spans="1:31" ht="15.45" customHeight="1">
      <c r="D7" s="114" t="s">
        <v>398</v>
      </c>
      <c r="E7" s="250">
        <v>151217892.9594312</v>
      </c>
      <c r="F7" s="115">
        <v>0.53845999999999994</v>
      </c>
      <c r="G7" s="116">
        <f>F7*E7</f>
        <v>81424786.642935321</v>
      </c>
      <c r="H7" s="173">
        <f t="shared" ref="H7:H13" si="0">F7+(F7*$AD$16)</f>
        <v>0.56792402172644108</v>
      </c>
      <c r="I7" s="116">
        <f>E7*H7</f>
        <v>85880273.926518649</v>
      </c>
      <c r="J7" s="173">
        <f t="shared" ref="J7:J13" si="1">F7+(F7*$AE$16)</f>
        <v>0.57384918918462424</v>
      </c>
      <c r="K7" s="116">
        <f t="shared" ref="K7:K13" si="2">E7*J7</f>
        <v>86776265.264976889</v>
      </c>
      <c r="L7" s="117"/>
      <c r="O7" s="114"/>
      <c r="P7" s="348"/>
      <c r="Q7" s="121"/>
      <c r="R7" s="349"/>
      <c r="S7" s="173"/>
      <c r="T7" s="349"/>
      <c r="U7" s="173"/>
      <c r="V7" s="349"/>
      <c r="W7" s="117"/>
      <c r="X7" s="6" t="s">
        <v>399</v>
      </c>
      <c r="Y7" s="273" t="s">
        <v>113</v>
      </c>
      <c r="Z7" s="273" t="s">
        <v>329</v>
      </c>
      <c r="AA7" s="273" t="s">
        <v>3</v>
      </c>
      <c r="AC7" s="47"/>
      <c r="AD7" s="47"/>
      <c r="AE7" s="47"/>
    </row>
    <row r="8" spans="1:31" ht="15.6">
      <c r="D8" s="350"/>
      <c r="E8" s="250"/>
      <c r="F8" s="115"/>
      <c r="G8" s="116"/>
      <c r="H8" s="173"/>
      <c r="I8" s="116"/>
      <c r="J8" s="173"/>
      <c r="K8" s="116"/>
      <c r="L8" s="117"/>
      <c r="O8" s="118"/>
      <c r="P8" s="348"/>
      <c r="Q8" s="121"/>
      <c r="R8" s="349"/>
      <c r="S8" s="173"/>
      <c r="T8" s="349"/>
      <c r="U8" s="173"/>
      <c r="V8" s="349"/>
      <c r="W8" s="117"/>
      <c r="X8" s="6" t="s">
        <v>188</v>
      </c>
      <c r="Y8" s="119">
        <v>660240887</v>
      </c>
      <c r="Z8" s="119">
        <v>592506653</v>
      </c>
      <c r="AA8" s="119">
        <v>67734234</v>
      </c>
      <c r="AC8" s="98"/>
      <c r="AD8" s="98"/>
      <c r="AE8" s="98"/>
    </row>
    <row r="9" spans="1:31" ht="15.6">
      <c r="D9" s="114" t="s">
        <v>400</v>
      </c>
      <c r="E9" s="250">
        <v>503808161.5971247</v>
      </c>
      <c r="F9" s="115">
        <v>0.41020000000000001</v>
      </c>
      <c r="G9" s="116">
        <f>F9*E9</f>
        <v>206662107.88714054</v>
      </c>
      <c r="H9" s="173">
        <f t="shared" si="0"/>
        <v>0.43264575588193394</v>
      </c>
      <c r="I9" s="116">
        <f>E9*H9</f>
        <v>217970462.89367554</v>
      </c>
      <c r="J9" s="173">
        <f t="shared" si="1"/>
        <v>0.43715956134816492</v>
      </c>
      <c r="K9" s="116">
        <f t="shared" si="2"/>
        <v>220244554.92742443</v>
      </c>
      <c r="L9" s="117"/>
      <c r="O9" s="114"/>
      <c r="P9" s="348"/>
      <c r="Q9" s="121"/>
      <c r="R9" s="349"/>
      <c r="S9" s="173"/>
      <c r="T9" s="349"/>
      <c r="U9" s="173"/>
      <c r="V9" s="349"/>
      <c r="W9" s="117"/>
      <c r="X9" s="6" t="s">
        <v>190</v>
      </c>
      <c r="Y9" s="172">
        <f>SUM('SAR and RAR (TOU-A)'!W19+'SAR and RAR (TOU-A)'!Z19-'SAR and RAR (TOU-A)'!L10)*1000-Y8</f>
        <v>-11436275.44980526</v>
      </c>
      <c r="Z9" s="172">
        <f>(('SAR and RAR (TOU-A)'!W19-'SAR and RAR (TOU-A)'!L10)*1000)-Z8</f>
        <v>-31668331.816717863</v>
      </c>
      <c r="AA9" s="172">
        <f>('SAR and RAR (TOU-A)'!Z19*1000)-AA8</f>
        <v>20232056.366912574</v>
      </c>
      <c r="AD9" s="47"/>
      <c r="AE9" s="47"/>
    </row>
    <row r="10" spans="1:31" ht="15.6">
      <c r="D10" s="350"/>
      <c r="E10" s="250"/>
      <c r="F10" s="115"/>
      <c r="G10" s="116"/>
      <c r="H10" s="173"/>
      <c r="I10" s="116"/>
      <c r="J10" s="173"/>
      <c r="K10" s="116"/>
      <c r="L10" s="117"/>
      <c r="O10" s="118"/>
      <c r="P10" s="348"/>
      <c r="Q10" s="121"/>
      <c r="R10" s="349"/>
      <c r="S10" s="173"/>
      <c r="T10" s="349"/>
      <c r="U10" s="173"/>
      <c r="V10" s="349"/>
      <c r="W10" s="117"/>
      <c r="X10" s="6" t="s">
        <v>191</v>
      </c>
      <c r="Y10" s="119">
        <f>Y8+Y9</f>
        <v>648804611.55019474</v>
      </c>
      <c r="Z10" s="119">
        <f>Z8+Z9</f>
        <v>560838321.18328214</v>
      </c>
      <c r="AA10" s="119">
        <f>AA8+AA9</f>
        <v>87966290.366912574</v>
      </c>
      <c r="AC10" s="47"/>
      <c r="AD10" s="47"/>
      <c r="AE10" s="47"/>
    </row>
    <row r="11" spans="1:31" ht="15.6">
      <c r="D11" s="114" t="s">
        <v>401</v>
      </c>
      <c r="E11" s="250">
        <v>183390340.97276723</v>
      </c>
      <c r="F11" s="115">
        <v>0.42063</v>
      </c>
      <c r="G11" s="116">
        <f>F11*E11</f>
        <v>77139479.123375088</v>
      </c>
      <c r="H11" s="173">
        <f t="shared" si="0"/>
        <v>0.44364647561340292</v>
      </c>
      <c r="I11" s="116">
        <f>E11*H11</f>
        <v>81360478.434108421</v>
      </c>
      <c r="J11" s="173">
        <f t="shared" si="1"/>
        <v>0.44827505190121553</v>
      </c>
      <c r="K11" s="116">
        <f t="shared" si="2"/>
        <v>82209314.617748842</v>
      </c>
      <c r="L11" s="117"/>
      <c r="O11" s="114"/>
      <c r="P11" s="348"/>
      <c r="Q11" s="121"/>
      <c r="R11" s="349"/>
      <c r="S11" s="173"/>
      <c r="T11" s="349"/>
      <c r="U11" s="173"/>
      <c r="V11" s="349"/>
      <c r="W11" s="117"/>
      <c r="X11" s="6" t="s">
        <v>193</v>
      </c>
      <c r="Y11" s="219">
        <f>SUM('SAR and RAR (TOU-A)'!Y19+'SAR and RAR (TOU-A)'!AA19-'SAR and RAR (TOU-A)'!L13)*1000-Y8</f>
        <v>23825906.580916166</v>
      </c>
      <c r="Z11" s="219">
        <f>(('SAR and RAR (TOU-A)'!Y19-'SAR and RAR (TOU-A)'!L13)*1000)-Z8</f>
        <v>10408746.187805295</v>
      </c>
      <c r="AA11" s="219">
        <f>('SAR and RAR (TOU-A)'!AA19*1000)-AA8</f>
        <v>13417160.393110856</v>
      </c>
      <c r="AC11" s="98"/>
      <c r="AD11" s="275"/>
      <c r="AE11" s="276"/>
    </row>
    <row r="12" spans="1:31" ht="15.6">
      <c r="D12" s="350"/>
      <c r="E12" s="250"/>
      <c r="F12" s="115"/>
      <c r="G12" s="116"/>
      <c r="H12" s="173"/>
      <c r="I12" s="116"/>
      <c r="J12" s="173"/>
      <c r="K12" s="116"/>
      <c r="L12" s="117"/>
      <c r="O12" s="118"/>
      <c r="P12" s="348"/>
      <c r="Q12" s="121"/>
      <c r="R12" s="349"/>
      <c r="S12" s="173"/>
      <c r="T12" s="349"/>
      <c r="U12" s="173"/>
      <c r="V12" s="349"/>
      <c r="W12" s="117"/>
      <c r="X12" s="6" t="s">
        <v>194</v>
      </c>
      <c r="Y12" s="119">
        <f>Y8+Y11</f>
        <v>684066793.58091617</v>
      </c>
      <c r="Z12" s="119">
        <f>Z8+Z11</f>
        <v>602915399.18780529</v>
      </c>
      <c r="AA12" s="119">
        <f>AA8+AA11</f>
        <v>81151394.393110856</v>
      </c>
    </row>
    <row r="13" spans="1:31" ht="15.6">
      <c r="D13" s="114" t="s">
        <v>402</v>
      </c>
      <c r="E13" s="250">
        <v>625200544.57601118</v>
      </c>
      <c r="F13" s="115">
        <v>0.33616000000000001</v>
      </c>
      <c r="G13" s="116">
        <f>F13*E13</f>
        <v>210167415.06467193</v>
      </c>
      <c r="H13" s="173">
        <f t="shared" si="0"/>
        <v>0.35455435713620409</v>
      </c>
      <c r="I13" s="116">
        <f>E13*H13</f>
        <v>221667577.16335234</v>
      </c>
      <c r="J13" s="173">
        <f t="shared" si="1"/>
        <v>0.35825343282008565</v>
      </c>
      <c r="K13" s="116">
        <f t="shared" si="2"/>
        <v>223980241.29534298</v>
      </c>
      <c r="L13" s="117"/>
      <c r="O13" s="118"/>
      <c r="P13" s="122"/>
      <c r="Q13" s="121"/>
      <c r="R13" s="122"/>
      <c r="S13" s="1"/>
      <c r="T13" s="123"/>
      <c r="U13" s="1"/>
      <c r="V13" s="123"/>
      <c r="Z13" s="317"/>
    </row>
    <row r="14" spans="1:31" ht="15.6">
      <c r="D14" s="350"/>
      <c r="E14" s="250"/>
      <c r="F14" s="115"/>
      <c r="G14" s="116"/>
      <c r="H14" s="173"/>
      <c r="I14" s="116"/>
      <c r="J14" s="173"/>
      <c r="K14" s="116"/>
      <c r="L14" s="117"/>
      <c r="O14" s="118"/>
      <c r="P14" s="122"/>
      <c r="Q14" s="121"/>
      <c r="R14" s="122"/>
      <c r="S14" s="277"/>
      <c r="T14" s="122"/>
      <c r="U14" s="122"/>
      <c r="V14" s="122"/>
      <c r="X14" s="6" t="s">
        <v>403</v>
      </c>
      <c r="Y14" s="273" t="s">
        <v>113</v>
      </c>
      <c r="Z14" s="273" t="s">
        <v>329</v>
      </c>
      <c r="AA14" s="273" t="s">
        <v>3</v>
      </c>
      <c r="AD14" s="47" t="s">
        <v>331</v>
      </c>
      <c r="AE14" s="47" t="s">
        <v>333</v>
      </c>
    </row>
    <row r="15" spans="1:31" ht="15.6">
      <c r="D15" s="118"/>
      <c r="E15" s="120"/>
      <c r="F15" s="121"/>
      <c r="G15" s="122"/>
      <c r="H15" s="249"/>
      <c r="I15" s="122"/>
      <c r="J15" s="248"/>
      <c r="K15" s="122"/>
      <c r="L15" s="117"/>
      <c r="O15" s="124"/>
      <c r="P15" s="122"/>
      <c r="Q15" s="121"/>
      <c r="R15" s="122"/>
      <c r="S15" s="122"/>
      <c r="T15" s="122"/>
      <c r="U15" s="122"/>
      <c r="V15" s="122"/>
      <c r="X15" s="6" t="s">
        <v>375</v>
      </c>
      <c r="Y15" s="317">
        <f>+Z15+AA15</f>
        <v>37.834000000000003</v>
      </c>
      <c r="Z15" s="649">
        <v>24.356000000000002</v>
      </c>
      <c r="AA15" s="649">
        <v>13.478</v>
      </c>
      <c r="AB15" s="643"/>
      <c r="AC15" s="668" t="s">
        <v>330</v>
      </c>
      <c r="AD15" s="273" t="s">
        <v>332</v>
      </c>
      <c r="AE15" s="273" t="s">
        <v>332</v>
      </c>
    </row>
    <row r="16" spans="1:31" ht="15.6">
      <c r="E16" s="251"/>
      <c r="P16" s="122"/>
      <c r="Q16" s="121"/>
      <c r="X16" s="6" t="s">
        <v>191</v>
      </c>
      <c r="Y16" s="317">
        <f>+Z16+AA16</f>
        <v>39.904240682684275</v>
      </c>
      <c r="Z16" s="649">
        <f>((SUM('SAR and RAR (TOU-A)'!$J$10:$K$10,'SAR and RAR (TOU-A)'!$Q$10:$R$10,'SAR and RAR (TOU-A)'!$T$10)-('SAR and RAR (TOU-A)'!$AD$18*IF(Summary!$D$2=2025,'SAR and RAR (TOU-A)'!D31,'SAR and RAR (TOU-A)'!D32)))/IF(Summary!$D$2=2025,'SAR and RAR (TOU-A)'!$C$25,'SAR and RAR (TOU-A)'!$C$38)*100)+(SUM('SAR and RAR (TOU-A)'!$M$10:$P$10,'SAR and RAR (TOU-A)'!$S$10)/IF(Summary!$D$2=2025,'SAR and RAR (TOU-A)'!$D$25,'SAR and RAR (TOU-A)'!$D$38)*100)</f>
        <v>22.926180895430115</v>
      </c>
      <c r="AA16" s="649">
        <f>+('SAR and RAR (TOU-A)'!$H$10/IF(Summary!$D$2=2025,'SAR and RAR (TOU-A)'!$E$25,'SAR and RAR (TOU-A)'!$E$38)*100)</f>
        <v>16.978059787254157</v>
      </c>
      <c r="AB16" s="643"/>
      <c r="AC16" s="643">
        <f>'SAR and RAR (TOU-A)'!AF26/100</f>
        <v>0.37834000000000001</v>
      </c>
      <c r="AD16" s="320">
        <f>$Y17/100/$AC$16</f>
        <v>5.4719053832115873E-2</v>
      </c>
      <c r="AE16" s="320">
        <f>$Y19/100/$AC$16</f>
        <v>6.5722967694209947E-2</v>
      </c>
    </row>
    <row r="17" spans="1:31" ht="15.6">
      <c r="O17" s="125"/>
      <c r="X17" s="6" t="s">
        <v>190</v>
      </c>
      <c r="Y17" s="467">
        <f>+Y16-Y15</f>
        <v>2.0702406826842719</v>
      </c>
      <c r="Z17" s="649">
        <f>+Z16-Z15</f>
        <v>-1.4298191045698871</v>
      </c>
      <c r="AA17" s="649">
        <f>+AA16-AA15</f>
        <v>3.5000597872541572</v>
      </c>
      <c r="AB17" s="643"/>
      <c r="AC17" s="669"/>
      <c r="AD17" s="466"/>
      <c r="AE17" s="466"/>
    </row>
    <row r="18" spans="1:31">
      <c r="X18" s="6" t="s">
        <v>194</v>
      </c>
      <c r="Y18" s="317">
        <f>+Z18+AA18</f>
        <v>40.320562759742742</v>
      </c>
      <c r="Z18" s="649">
        <f>((SUM('SAR and RAR (TOU-A)'!$J$13:$K$13,'SAR and RAR (TOU-A)'!$Q$13:$R$13,'SAR and RAR (TOU-A)'!$T$10)-('SAR and RAR (TOU-A)'!$AE$18*IF(Summary!$D$2=2025,'SAR and RAR (TOU-A)'!D31,'SAR and RAR (TOU-A)'!D32)))/IF(Summary!$D$2=2025,'SAR and RAR (TOU-A)'!$C$25,'SAR and RAR (TOU-A)'!$C$38)*100)+(SUM('SAR and RAR (TOU-A)'!$M$13:$P$13,'SAR and RAR (TOU-A)'!$S$13)/IF(Summary!$D$2=2025,'SAR and RAR (TOU-A)'!$D$25,'SAR and RAR (TOU-A)'!$D$38)*100)</f>
        <v>24.657821724757394</v>
      </c>
      <c r="AA18" s="649">
        <f>+('SAR and RAR (TOU-A)'!$H$13/IF(Summary!$D$2=2025,'SAR and RAR (TOU-A)'!$E$25,'SAR and RAR (TOU-A)'!$E$38)*100)</f>
        <v>15.662741034985347</v>
      </c>
      <c r="AB18" s="643"/>
      <c r="AC18" s="643"/>
      <c r="AD18" s="167"/>
      <c r="AE18" s="167"/>
    </row>
    <row r="19" spans="1:31">
      <c r="B19" s="7"/>
      <c r="P19" s="351"/>
      <c r="Q19" s="351"/>
      <c r="R19" s="351"/>
      <c r="S19" s="351"/>
      <c r="T19" s="351"/>
      <c r="U19" s="351"/>
      <c r="V19" s="351"/>
      <c r="X19" s="6" t="s">
        <v>193</v>
      </c>
      <c r="Y19" s="467">
        <f>+Y18-Y15</f>
        <v>2.4865627597427391</v>
      </c>
      <c r="Z19" s="317">
        <f>+Z18-Z15</f>
        <v>0.30182172475739222</v>
      </c>
      <c r="AA19" s="317">
        <f>+AA18-AA15</f>
        <v>2.1847410349853469</v>
      </c>
      <c r="AD19" s="167"/>
      <c r="AE19" s="167"/>
    </row>
    <row r="20" spans="1:31">
      <c r="B20" s="660" t="s">
        <v>404</v>
      </c>
      <c r="C20" s="126"/>
      <c r="E20" s="127" t="s">
        <v>178</v>
      </c>
      <c r="F20" s="127" t="s">
        <v>178</v>
      </c>
      <c r="H20" s="126"/>
      <c r="I20" s="643" t="s">
        <v>465</v>
      </c>
      <c r="P20" s="352"/>
      <c r="Q20" s="353"/>
      <c r="R20" s="353"/>
      <c r="S20" s="353"/>
      <c r="T20" s="353"/>
      <c r="U20" s="588"/>
      <c r="V20" s="588"/>
      <c r="Y20" s="177"/>
      <c r="AD20" s="167"/>
      <c r="AE20" s="167"/>
    </row>
    <row r="21" spans="1:31">
      <c r="B21" s="130" t="s">
        <v>179</v>
      </c>
      <c r="C21" s="378" t="str">
        <f>'Res Bill Impact'!C21</f>
        <v>6/1/2025</v>
      </c>
      <c r="D21" s="344" t="str">
        <f>'Res Bill Impact'!D21</f>
        <v>10/1/25</v>
      </c>
      <c r="E21" s="132" t="s">
        <v>158</v>
      </c>
      <c r="F21" s="132" t="s">
        <v>166</v>
      </c>
      <c r="I21" s="128" t="s">
        <v>405</v>
      </c>
      <c r="J21" s="589" t="s">
        <v>196</v>
      </c>
      <c r="K21" s="590"/>
      <c r="L21" s="589" t="s">
        <v>197</v>
      </c>
      <c r="M21" s="590"/>
      <c r="N21" s="643"/>
      <c r="O21" s="643"/>
      <c r="P21" s="661"/>
      <c r="Q21" s="662"/>
      <c r="R21" s="662"/>
      <c r="S21" s="662"/>
      <c r="T21" s="662"/>
      <c r="U21" s="663"/>
      <c r="V21" s="663"/>
      <c r="W21" s="643"/>
      <c r="X21" s="643"/>
      <c r="Y21" s="664"/>
    </row>
    <row r="22" spans="1:31">
      <c r="A22" s="6" t="s">
        <v>196</v>
      </c>
      <c r="B22" s="134" t="s">
        <v>406</v>
      </c>
      <c r="C22" s="228">
        <v>0.54151000000000005</v>
      </c>
      <c r="D22" s="136">
        <f>F7</f>
        <v>0.53845999999999994</v>
      </c>
      <c r="E22" s="137">
        <f>H7</f>
        <v>0.56792402172644108</v>
      </c>
      <c r="F22" s="137">
        <f>J7</f>
        <v>0.57384918918462424</v>
      </c>
      <c r="I22" s="347" t="s">
        <v>407</v>
      </c>
      <c r="J22" s="354" t="s">
        <v>408</v>
      </c>
      <c r="K22" s="354" t="s">
        <v>409</v>
      </c>
      <c r="L22" s="354" t="s">
        <v>408</v>
      </c>
      <c r="M22" s="354" t="s">
        <v>409</v>
      </c>
      <c r="N22" s="665" t="s">
        <v>200</v>
      </c>
      <c r="O22" s="665" t="s">
        <v>410</v>
      </c>
      <c r="P22" s="666"/>
      <c r="Q22" s="667"/>
      <c r="R22" s="667"/>
      <c r="S22" s="667"/>
      <c r="T22" s="667"/>
      <c r="U22" s="357"/>
      <c r="V22" s="357"/>
      <c r="W22" s="643"/>
      <c r="X22" s="643"/>
      <c r="Y22" s="664"/>
    </row>
    <row r="23" spans="1:31">
      <c r="B23" s="134" t="s">
        <v>411</v>
      </c>
      <c r="C23" s="135">
        <v>0.41325000000000001</v>
      </c>
      <c r="D23" s="136">
        <f>F9</f>
        <v>0.41020000000000001</v>
      </c>
      <c r="E23" s="137">
        <f>H9</f>
        <v>0.43264575588193394</v>
      </c>
      <c r="F23" s="137">
        <f>J9</f>
        <v>0.43715956134816492</v>
      </c>
      <c r="I23" s="358" t="s">
        <v>412</v>
      </c>
      <c r="J23" s="359">
        <v>160.79186300000001</v>
      </c>
      <c r="K23" s="359">
        <v>850.81467699999996</v>
      </c>
      <c r="L23" s="359">
        <v>150.321776</v>
      </c>
      <c r="M23" s="359">
        <v>784.190831</v>
      </c>
      <c r="N23" s="360">
        <v>0.5551499221183801</v>
      </c>
      <c r="O23" s="361">
        <v>4.3630000000000004</v>
      </c>
      <c r="P23" s="666"/>
      <c r="Q23" s="667"/>
      <c r="R23" s="667"/>
      <c r="S23" s="667"/>
      <c r="T23" s="667"/>
      <c r="U23" s="357"/>
      <c r="V23" s="357"/>
      <c r="W23" s="643"/>
      <c r="X23" s="643"/>
      <c r="Y23" s="643"/>
    </row>
    <row r="24" spans="1:31">
      <c r="A24" s="169" t="s">
        <v>197</v>
      </c>
      <c r="B24" s="174" t="s">
        <v>406</v>
      </c>
      <c r="C24" s="175">
        <v>0.42368000000000006</v>
      </c>
      <c r="D24" s="175">
        <f>F11</f>
        <v>0.42063</v>
      </c>
      <c r="E24" s="175">
        <f>H11</f>
        <v>0.44364647561340292</v>
      </c>
      <c r="F24" s="175">
        <f>J11</f>
        <v>0.44827505190121553</v>
      </c>
      <c r="I24" s="358" t="s">
        <v>413</v>
      </c>
      <c r="J24" s="362">
        <v>191.05617100000001</v>
      </c>
      <c r="K24" s="362">
        <v>1001.54555</v>
      </c>
      <c r="L24" s="362">
        <v>143.813929</v>
      </c>
      <c r="M24" s="362">
        <v>821.56988200000001</v>
      </c>
      <c r="N24" s="360">
        <v>0.22045366043613707</v>
      </c>
      <c r="O24" s="361">
        <v>6.6879999999999997</v>
      </c>
      <c r="P24" s="666"/>
      <c r="Q24" s="667"/>
      <c r="R24" s="667"/>
      <c r="S24" s="667"/>
      <c r="T24" s="667"/>
      <c r="U24" s="357"/>
      <c r="V24" s="357"/>
      <c r="W24" s="643"/>
      <c r="X24" s="643"/>
      <c r="Y24" s="643"/>
    </row>
    <row r="25" spans="1:31">
      <c r="A25" s="169"/>
      <c r="B25" s="174" t="s">
        <v>411</v>
      </c>
      <c r="C25" s="175">
        <v>0.33921000000000007</v>
      </c>
      <c r="D25" s="175">
        <f>F13</f>
        <v>0.33616000000000001</v>
      </c>
      <c r="E25" s="175">
        <f>H13</f>
        <v>0.35455435713620409</v>
      </c>
      <c r="F25" s="175">
        <f>J13</f>
        <v>0.35825343282008565</v>
      </c>
      <c r="I25" s="363" t="s">
        <v>414</v>
      </c>
      <c r="J25" s="364">
        <v>566.12646400000006</v>
      </c>
      <c r="K25" s="364">
        <v>2486.213882</v>
      </c>
      <c r="L25" s="364">
        <v>440.37613800000003</v>
      </c>
      <c r="M25" s="364">
        <v>1969.4753949999999</v>
      </c>
      <c r="N25" s="365">
        <v>0.22439641744548286</v>
      </c>
      <c r="O25" s="366">
        <v>9.3629999999999995</v>
      </c>
      <c r="P25" s="666"/>
      <c r="Q25" s="667"/>
      <c r="R25" s="667"/>
      <c r="S25" s="667"/>
      <c r="T25" s="667"/>
      <c r="U25" s="357"/>
      <c r="V25" s="357"/>
      <c r="W25" s="643"/>
      <c r="X25" s="643"/>
      <c r="Y25" s="643"/>
    </row>
    <row r="26" spans="1:31">
      <c r="I26" s="486"/>
      <c r="J26" s="486"/>
      <c r="L26" s="119"/>
      <c r="M26" s="119"/>
      <c r="N26" s="485"/>
      <c r="O26" s="482"/>
      <c r="P26" s="355"/>
      <c r="Q26" s="356"/>
      <c r="R26" s="356"/>
      <c r="S26" s="356"/>
      <c r="T26" s="356"/>
      <c r="U26" s="357"/>
      <c r="V26" s="357"/>
      <c r="X26" s="643"/>
      <c r="Y26" s="643"/>
    </row>
    <row r="27" spans="1:31">
      <c r="B27" s="367"/>
      <c r="C27" s="255"/>
      <c r="D27" s="136"/>
      <c r="E27" s="137"/>
      <c r="F27" s="137"/>
      <c r="I27" s="119"/>
      <c r="J27" s="119"/>
      <c r="M27" s="119"/>
      <c r="N27" s="119"/>
      <c r="Q27" s="149"/>
      <c r="R27" s="149"/>
      <c r="S27" s="149"/>
      <c r="T27" s="149"/>
      <c r="U27" s="140"/>
      <c r="V27" s="140"/>
    </row>
    <row r="28" spans="1:31">
      <c r="I28" s="119"/>
      <c r="J28" s="119"/>
      <c r="M28" s="119"/>
      <c r="N28" s="119"/>
      <c r="Q28" s="149"/>
      <c r="R28" s="149"/>
      <c r="S28" s="149"/>
      <c r="T28" s="149"/>
      <c r="U28" s="140"/>
      <c r="V28" s="140"/>
    </row>
    <row r="29" spans="1:31">
      <c r="B29" s="367"/>
      <c r="C29" s="255"/>
      <c r="D29" s="136"/>
      <c r="E29" s="137"/>
      <c r="F29" s="137"/>
      <c r="I29" s="119"/>
      <c r="J29" s="119"/>
      <c r="M29" s="119"/>
      <c r="N29" s="119"/>
      <c r="Q29" s="149"/>
      <c r="R29" s="149"/>
      <c r="S29" s="149"/>
      <c r="T29" s="149"/>
      <c r="U29" s="140"/>
      <c r="V29" s="140"/>
    </row>
    <row r="30" spans="1:31">
      <c r="B30" s="7"/>
      <c r="C30" s="8"/>
      <c r="D30" s="143"/>
      <c r="E30" s="9"/>
      <c r="F30" s="9"/>
      <c r="I30" s="119"/>
      <c r="J30" s="119"/>
      <c r="M30" s="119"/>
      <c r="N30" s="119"/>
      <c r="Q30" s="149"/>
      <c r="R30" s="149"/>
      <c r="S30" s="149"/>
      <c r="T30" s="149"/>
      <c r="U30" s="140"/>
      <c r="V30" s="142"/>
    </row>
    <row r="31" spans="1:31">
      <c r="B31" s="7"/>
      <c r="C31" s="8"/>
      <c r="D31" s="8"/>
      <c r="E31" s="9"/>
      <c r="F31" s="9"/>
    </row>
    <row r="32" spans="1:31" ht="27.6">
      <c r="B32" s="247"/>
      <c r="C32" s="584" t="s">
        <v>415</v>
      </c>
      <c r="D32" s="584"/>
      <c r="E32" s="584"/>
      <c r="F32" s="584"/>
      <c r="G32" s="584"/>
      <c r="H32" s="584"/>
      <c r="I32" s="584"/>
      <c r="J32" s="584"/>
      <c r="L32" s="127" t="s">
        <v>416</v>
      </c>
      <c r="Q32" s="368"/>
      <c r="R32" s="369"/>
      <c r="S32" s="368"/>
      <c r="T32" s="370"/>
      <c r="U32" s="370"/>
      <c r="V32" s="370"/>
    </row>
    <row r="33" spans="2:22">
      <c r="B33" s="7"/>
      <c r="C33" s="518" t="s">
        <v>472</v>
      </c>
      <c r="D33" s="519"/>
      <c r="E33" s="519"/>
      <c r="F33" s="519"/>
      <c r="G33" s="519"/>
      <c r="H33" s="519"/>
      <c r="I33" s="519"/>
      <c r="J33" s="520"/>
      <c r="L33" s="134" t="s">
        <v>417</v>
      </c>
      <c r="M33" s="371" t="str">
        <f>C21</f>
        <v>6/1/2025</v>
      </c>
      <c r="N33" s="131" t="str">
        <f>D21</f>
        <v>10/1/25</v>
      </c>
      <c r="Q33" s="368"/>
      <c r="R33" s="369"/>
      <c r="S33" s="372"/>
      <c r="T33" s="373"/>
      <c r="U33" s="373"/>
      <c r="V33" s="374"/>
    </row>
    <row r="34" spans="2:22">
      <c r="B34" s="7"/>
      <c r="C34" s="581" t="str">
        <f>C21</f>
        <v>6/1/2025</v>
      </c>
      <c r="D34" s="581"/>
      <c r="E34" s="580" t="str">
        <f>D21</f>
        <v>10/1/25</v>
      </c>
      <c r="F34" s="581"/>
      <c r="G34" s="581" t="str">
        <f>E21</f>
        <v>Authorized</v>
      </c>
      <c r="H34" s="581"/>
      <c r="I34" s="580" t="str">
        <f>F21</f>
        <v>w/Pending</v>
      </c>
      <c r="J34" s="581"/>
      <c r="L34" s="134" t="s">
        <v>418</v>
      </c>
      <c r="M34" s="375">
        <v>11.45</v>
      </c>
      <c r="N34" s="375">
        <v>11.45</v>
      </c>
      <c r="Q34" s="368"/>
      <c r="R34" s="369"/>
      <c r="S34" s="372"/>
      <c r="T34" s="373"/>
      <c r="U34" s="374"/>
      <c r="V34" s="373"/>
    </row>
    <row r="35" spans="2:22">
      <c r="B35" s="7"/>
      <c r="C35" s="8" t="s">
        <v>196</v>
      </c>
      <c r="D35" s="8" t="s">
        <v>197</v>
      </c>
      <c r="E35" s="8" t="s">
        <v>196</v>
      </c>
      <c r="F35" s="8" t="s">
        <v>197</v>
      </c>
      <c r="G35" s="8" t="s">
        <v>196</v>
      </c>
      <c r="H35" s="8" t="s">
        <v>197</v>
      </c>
      <c r="I35" s="8" t="s">
        <v>196</v>
      </c>
      <c r="J35" s="8" t="s">
        <v>197</v>
      </c>
      <c r="L35" s="134" t="s">
        <v>419</v>
      </c>
      <c r="M35" s="375">
        <v>18.32</v>
      </c>
      <c r="N35" s="375">
        <v>18.32</v>
      </c>
      <c r="Q35" s="368"/>
      <c r="R35" s="372"/>
      <c r="S35" s="376"/>
      <c r="T35" s="373"/>
      <c r="U35" s="373"/>
      <c r="V35" s="373"/>
    </row>
    <row r="36" spans="2:22">
      <c r="B36" s="138" t="s">
        <v>412</v>
      </c>
      <c r="C36" s="159">
        <f>((C22*$J$23)+(C23*$K$23))+IF($O23&lt;5.1,$M$34,IF(AND($O23&gt;5,$O23&lt;20.1),$M$35,IF(AND($O23&gt;20,$O23&lt;50.1),$M$36,IF($O23&gt;50,$M$37))))+('Incremental Rev Req'!F87*$J$23+'Incremental Rev Req'!F87*$K$23)</f>
        <v>450.92885223538002</v>
      </c>
      <c r="D36" s="159">
        <f>((C24*$L$23)+(C25*$M$23))+IF($O23&lt;5.1,$M$34,IF(AND($O23&gt;5,$O23&lt;20.1),$M$35,IF(AND($O23&gt;20,$O23&lt;50.1),$M$36,IF($O23&gt;50,$M$37))))+('Incremental Rev Req'!F87*$L$23+'Incremental Rev Req'!F87*$M$23)</f>
        <v>341.89131192479005</v>
      </c>
      <c r="E36" s="159">
        <f>((D22*$J$23)+(D23*$K$23))+IF($O23&lt;5.1,$N$34,IF(AND($O23&gt;5,$O23&lt;20.1),$N$35,IF(AND($O23&gt;20,$O23&lt;50.1),$N$36,IF($O23&gt;50,$N$37))))+('Incremental Rev Req'!F87*$J$23+'Incremental Rev Req'!F87*$K$23)</f>
        <v>447.84345228837992</v>
      </c>
      <c r="F36" s="159">
        <f>((D24*$L$23)+(D25*$M$23))+IF($O23&lt;5.1,$N$34,IF(AND($O23&gt;5,$O23&lt;20.1),$N$35,IF(AND($O23&gt;20,$O23&lt;50.1),$N$36,IF($O23&gt;50,$N$37))))+('Incremental Rev Req'!F87*$L$23+'Incremental Rev Req'!F87*$M$23)</f>
        <v>339.04104847344001</v>
      </c>
      <c r="G36" s="159">
        <f>((E22*J23)+(E23*K23))+IF($O23&lt;5.1,$N$34,IF(AND($O23&gt;5,$O23&lt;20.1),$N$35,IF(AND($O23&gt;20,$O23&lt;50.1),$N$36,IF($O23&gt;50,$N$37))))+('Incremental Rev Req'!F87*$J$23+'Incremental Rev Req'!F87*$K$23)</f>
        <v>471.67820577395531</v>
      </c>
      <c r="H36" s="159">
        <f>((E24*L23)+(E25*M23))+IF($O23&lt;5.1,$N$34,IF(AND($O23&gt;5,$O23&lt;20.1),$N$35,IF(AND($O23&gt;20,$O23&lt;50.1),$N$36,IF($O23&gt;50,$N$37))))+('Incremental Rev Req'!F87*$L$23+'Incremental Rev Req'!F87*$M$23)</f>
        <v>356.92561217325806</v>
      </c>
      <c r="I36" s="159">
        <f>((F22*J23)+(F23*K23))+IF($O23&lt;5.1,$N$34,IF(AND($O23&gt;5,$O23&lt;20.1),$N$35,IF(AND($O23&gt;20,$O23&lt;50.1),$N$36,IF($O23&gt;50,$N$37))))+('Incremental Rev Req'!F87*$J$23+'Incremental Rev Req'!F87*$K$23)</f>
        <v>476.47133642793574</v>
      </c>
      <c r="J36" s="159">
        <f>((F24*L23)+(F25*M23))+IF($O23&lt;5.1,$N$34,IF(AND($O23&gt;5,$O23&lt;20.1),$N$35,IF(AND($O23&gt;20,$O23&lt;50.1),$N$36,IF($O23&gt;50,$N$37))))+('Incremental Rev Req'!F87*$L$23+'Incremental Rev Req'!F87*$M$23)</f>
        <v>360.52216921566855</v>
      </c>
      <c r="L36" s="134" t="s">
        <v>420</v>
      </c>
      <c r="M36" s="375">
        <v>34.35</v>
      </c>
      <c r="N36" s="375">
        <v>34.35</v>
      </c>
      <c r="Q36" s="368"/>
      <c r="R36" s="369"/>
      <c r="S36" s="376"/>
      <c r="T36" s="373"/>
      <c r="U36" s="373"/>
      <c r="V36" s="373"/>
    </row>
    <row r="37" spans="2:22">
      <c r="B37" s="141" t="s">
        <v>413</v>
      </c>
      <c r="C37" s="159">
        <f>((C22*$J$24)+(C23*$K$24))+IF($O24&lt;5.1,$M$34,IF(AND($O24&gt;5,$O24&lt;20.1),$M$35,IF(AND($O24&gt;20,$O24&lt;50.1),$M$36,IF($O24&gt;50,$M$37))))+('Incremental Rev Req'!F87*$J$24+'Incremental Rev Req'!F87*$K$24)</f>
        <v>536.62160707251007</v>
      </c>
      <c r="D37" s="159">
        <f>((C24*$L$24)+(C25*$M$24))+IF($O24&lt;5.1,$M$34,IF(AND($O24&gt;5,$O24&lt;20.1),$M$35,IF(AND($O24&gt;20,$O24&lt;50.1),$M$36,IF($O24&gt;50,$M$37))))+('Incremental Rev Req'!F87*$L$24+'Incremental Rev Req'!F87*$M$24)</f>
        <v>358.70811216074003</v>
      </c>
      <c r="E37" s="159">
        <f>((D22*$J$24)+(D23*$K$24))+IF($O24&lt;5.1,$N$34,IF(AND($O24&gt;5,$O24&lt;20.1),$N$35,IF(AND($O24&gt;20,$O24&lt;50.1),$N$36,IF($O24&gt;50,$N$37))))+('Incremental Rev Req'!F87*$J$24+'Incremental Rev Req'!F87*$K$24)</f>
        <v>532.98417182346009</v>
      </c>
      <c r="F37" s="159">
        <f>((D24*$L$24)+(D25*$M$24))+IF($O24&lt;5.1,$N$34,IF(AND($O24&gt;5,$O24&lt;20.1),$N$35,IF(AND($O24&gt;20,$O24&lt;50.1),$N$36,IF($O24&gt;50,$N$37))))+('Incremental Rev Req'!F87*$L$24+'Incremental Rev Req'!F87*$M$24)</f>
        <v>355.76369153718997</v>
      </c>
      <c r="G37" s="159">
        <f>((E22*J24)+(E23*K24))+IF($O24&lt;5.1,$N$34,IF(AND($O24&gt;5,$O24&lt;20.1),$N$35,IF(AND($O24&gt;20,$O24&lt;50.1),$N$36,IF($O24&gt;50,$N$37))))+('Incremental Rev Req'!F87*$J$24+'Incremental Rev Req'!F87*$K$24)</f>
        <v>561.09390191671196</v>
      </c>
      <c r="H37" s="159">
        <f>((E24*L24)+(E25*M24))+IF($O24&lt;5.1,$N$34,IF(AND($O24&gt;5,$O24&lt;20.1),$N$35,IF(AND($O24&gt;20,$O24&lt;50.1),$N$36,IF($O24&gt;50,$N$37))))+('Incremental Rev Req'!F87*$L$24+'Incremental Rev Req'!F87*$M$24)</f>
        <v>374.18603114874315</v>
      </c>
      <c r="I37" s="159">
        <f>((F22*J24)+(F23*K24))+IF($O24&lt;5.1,$N$34,IF(AND($O24&gt;5,$O24&lt;20.1),$N$35,IF(AND($O24&gt;20,$O24&lt;50.1),$N$36,IF($O24&gt;50,$N$37))))+('Incremental Rev Req'!F87*$J$24+'Incremental Rev Req'!F87*$K$24)</f>
        <v>566.74672350207561</v>
      </c>
      <c r="J37" s="159">
        <f>((F24*L24)+(F25*M24))+IF($O24&lt;5.1,$N$34,IF(AND($O24&gt;5,$O24&lt;20.1),$N$35,IF(AND($O24&gt;20,$O24&lt;50.1),$N$36,IF($O24&gt;50,$N$37))))+('Incremental Rev Req'!F87*$L$24+'Incremental Rev Req'!F87*$M$24)</f>
        <v>377.89073406348535</v>
      </c>
      <c r="L37" s="134" t="s">
        <v>421</v>
      </c>
      <c r="M37" s="375">
        <v>85.87</v>
      </c>
      <c r="N37" s="375">
        <v>85.87</v>
      </c>
      <c r="Q37" s="368"/>
      <c r="R37" s="369"/>
      <c r="S37" s="372"/>
      <c r="T37" s="373"/>
      <c r="U37" s="373"/>
      <c r="V37" s="374"/>
    </row>
    <row r="38" spans="2:22">
      <c r="B38" s="144" t="s">
        <v>414</v>
      </c>
      <c r="C38" s="159">
        <f>((C22*$J$25)+(C23*$K$25))+IF($O25&lt;5.1,$M$34,IF(AND($O25&gt;5,$O25&lt;20.1),$M$35,IF(AND($O25&gt;20,$O25&lt;50.1),$M$36,IF($O25&gt;50,$M$37))))+('Incremental Rev Req'!F87*$J$25+'Incremental Rev Req'!F87*$K$25)</f>
        <v>1354.7529005339402</v>
      </c>
      <c r="D38" s="159">
        <f>((C24*$L$25)+(C25*$M$25))+IF($O25&lt;5.1,$M$34,IF(AND($O25&gt;5,$O25&lt;20.1),$M$35,IF(AND($O25&gt;20,$O25&lt;50.1),$M$36,IF($O25&gt;50,$M$37))))+('Incremental Rev Req'!F87*$L$25+'Incremental Rev Req'!F87*$M$25)</f>
        <v>874.89219211219029</v>
      </c>
      <c r="E38" s="159">
        <f>((D22*$J$25)+(D23*$K$25))+IF($O25&lt;5.1,$N$34,IF(AND($O25&gt;5,$O25&lt;20.1),$N$35,IF(AND($O25&gt;20,$O25&lt;50.1),$N$36,IF($O25&gt;50,$N$37))))+('Incremental Rev Req'!F87*$J$25+'Incremental Rev Req'!F87*$K$25)</f>
        <v>1345.44326247864</v>
      </c>
      <c r="F38" s="159">
        <f>((D24*$L$25)+(D25*$M$25))+IF($O25&lt;5.1,$N$34,IF(AND($O25&gt;5,$O25&lt;20.1),$N$35,IF(AND($O25&gt;20,$O25&lt;50.1),$N$36,IF($O25&gt;50,$N$37))))+('Incremental Rev Req'!F87*$L$25+'Incremental Rev Req'!F87*$M$25)</f>
        <v>867.54214493654013</v>
      </c>
      <c r="G38" s="159">
        <f>((E22*J25)+(E23*K25))+IF($O25&lt;5.1,$N$34,IF(AND($O25&gt;5,$O25&lt;20.1),$N$35,IF(AND($O25&gt;20,$O25&lt;50.1),$N$36,IF($O25&gt;50,$N$37))))+('Incremental Rev Req'!F87*$J$25+'Incremental Rev Req'!F87*$K$25)</f>
        <v>1417.9285747794968</v>
      </c>
      <c r="H38" s="159">
        <f>((E24*L25)+(E25*M25))+IF($O25&lt;5.1,$N$34,IF(AND($O25&gt;5,$O25&lt;20.1),$N$35,IF(AND($O25&gt;20,$O25&lt;50.1),$N$36,IF($O25&gt;50,$N$37))))+('Incremental Rev Req'!F87*$L$25+'Incremental Rev Req'!F87*$M$25)</f>
        <v>913.90528536413819</v>
      </c>
      <c r="I38" s="159">
        <f>((F22*J25)+(F23*K25))+IF($O25&lt;5.1,$N$34,IF(AND($O25&gt;5,$O25&lt;20.1),$N$35,IF(AND($O25&gt;20,$O25&lt;50.1),$N$36,IF($O25&gt;50,$N$37))))+('Incremental Rev Req'!F87*$J$25+'Incremental Rev Req'!F87*$K$25)</f>
        <v>1432.5052546919967</v>
      </c>
      <c r="J38" s="159">
        <f>((F24*L25)+(F25*M25))+IF($O25&lt;5.1,$N$34,IF(AND($O25&gt;5,$O25&lt;20.1),$N$35,IF(AND($O25&gt;20,$O25&lt;50.1),$N$36,IF($O25&gt;50,$N$37))))+('Incremental Rev Req'!F87*$L$25+'Incremental Rev Req'!F87*$M$25)</f>
        <v>923.228838457851</v>
      </c>
      <c r="L38" s="10"/>
      <c r="M38" s="10"/>
      <c r="N38" s="10"/>
      <c r="Q38" s="368"/>
      <c r="R38" s="369"/>
      <c r="S38" s="372"/>
      <c r="T38" s="373"/>
      <c r="U38" s="374"/>
      <c r="V38" s="373"/>
    </row>
    <row r="39" spans="2:22" s="10" customFormat="1">
      <c r="B39" s="6" t="s">
        <v>113</v>
      </c>
      <c r="C39" s="157">
        <f t="shared" ref="C39:J39" si="3">SUMPRODUCT(C36:C38,$N$23:$N$25)</f>
        <v>672.63501215135182</v>
      </c>
      <c r="D39" s="157">
        <f t="shared" si="3"/>
        <v>465.20212510297017</v>
      </c>
      <c r="E39" s="157">
        <f t="shared" si="3"/>
        <v>668.03121726849463</v>
      </c>
      <c r="F39" s="157">
        <f t="shared" si="3"/>
        <v>461.32136901133987</v>
      </c>
      <c r="G39" s="157">
        <f t="shared" si="3"/>
        <v>703.72541610038115</v>
      </c>
      <c r="H39" s="157">
        <f t="shared" si="3"/>
        <v>485.71497797105451</v>
      </c>
      <c r="I39" s="157">
        <f t="shared" si="3"/>
        <v>710.90346217054184</v>
      </c>
      <c r="J39" s="157">
        <f t="shared" si="3"/>
        <v>490.62049356351815</v>
      </c>
      <c r="L39" s="6"/>
      <c r="M39" s="6"/>
      <c r="N39" s="6"/>
      <c r="O39" s="6"/>
      <c r="P39" s="376"/>
      <c r="Q39" s="368"/>
      <c r="S39" s="376"/>
      <c r="T39" s="373"/>
      <c r="U39" s="373"/>
      <c r="V39" s="373"/>
    </row>
    <row r="40" spans="2:22">
      <c r="P40" s="372"/>
      <c r="Q40" s="368"/>
      <c r="S40" s="372"/>
      <c r="T40" s="377"/>
      <c r="U40" s="377"/>
      <c r="V40" s="377"/>
    </row>
  </sheetData>
  <mergeCells count="12">
    <mergeCell ref="C32:J32"/>
    <mergeCell ref="C34:D34"/>
    <mergeCell ref="E34:F34"/>
    <mergeCell ref="G34:H34"/>
    <mergeCell ref="I34:J34"/>
    <mergeCell ref="B2:D2"/>
    <mergeCell ref="E3:K3"/>
    <mergeCell ref="U20:V20"/>
    <mergeCell ref="J21:K21"/>
    <mergeCell ref="L21:M21"/>
    <mergeCell ref="Q21:R21"/>
    <mergeCell ref="S21:T2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8F375954AB64099D51457439E4AE5" ma:contentTypeVersion="2" ma:contentTypeDescription="Create a new document." ma:contentTypeScope="" ma:versionID="66577174593b819ef36cb5c14413b3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45b1eb723395c1f2f5ab635b757ccd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B4B413-4F52-4644-A212-849DA6920F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C9681C-E5B5-4BBE-99AC-F9DC208A5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03733F-400F-4A33-BEAC-A0F541BFE9C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Notable Assumptions</vt:lpstr>
      <vt:lpstr>Summary</vt:lpstr>
      <vt:lpstr>Selected Data</vt:lpstr>
      <vt:lpstr>Authorized Rev Req</vt:lpstr>
      <vt:lpstr>Incremental Rev Req</vt:lpstr>
      <vt:lpstr>SAR and RAR</vt:lpstr>
      <vt:lpstr>Res Bill Impact</vt:lpstr>
      <vt:lpstr>SAR and RAR (TOU-A)</vt:lpstr>
      <vt:lpstr>Bill Impact (TOU-A)</vt:lpstr>
      <vt:lpstr>Hypothetical Summary</vt:lpstr>
      <vt:lpstr>Hypothetical SAR and RAR</vt:lpstr>
      <vt:lpstr>Hypothetical Res Bill Impact</vt:lpstr>
      <vt:lpstr>Hypoth. SAR and RAR (TOU-A)</vt:lpstr>
      <vt:lpstr>Hypoth. Bill Impact (TOU-A)</vt:lpstr>
      <vt:lpstr>% of CARE Sales</vt:lpstr>
      <vt:lpstr>Sales Allocations &amp; CCC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Sieren-Smith, Bridget</dc:creator>
  <cp:lastModifiedBy>Aquino, Tiffany M</cp:lastModifiedBy>
  <cp:lastPrinted>2025-11-20T00:43:10Z</cp:lastPrinted>
  <dcterms:created xsi:type="dcterms:W3CDTF">2019-06-24T18:17:17Z</dcterms:created>
  <dcterms:modified xsi:type="dcterms:W3CDTF">2025-12-01T21:42:28Z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0x010100C208F375954AB64099D51457439E4AE5</vt:lpwstr>
  </property>
</Properties>
</file>