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codeName="ThisWorkbook"/>
  <mc:AlternateContent xmlns:mc="http://schemas.openxmlformats.org/markup-compatibility/2006">
    <mc:Choice Requires="x15">
      <x15ac:absPath xmlns:x15ac="http://schemas.microsoft.com/office/spreadsheetml/2010/11/ac" url="https://ethreesf.sharepoint.com/sites/CPUC_IDER/Shared Documents/2026 ACC/8_Final Models/"/>
    </mc:Choice>
  </mc:AlternateContent>
  <xr:revisionPtr revIDLastSave="1683" documentId="13_ncr:1_{FCCCBB7A-26EB-4987-974B-DC6B7D9CC6AA}" xr6:coauthVersionLast="47" xr6:coauthVersionMax="47" xr10:uidLastSave="{99183B03-8C67-3C43-B4C5-A03D37BA8142}"/>
  <bookViews>
    <workbookView xWindow="0" yWindow="660" windowWidth="28700" windowHeight="17380" firstSheet="4" activeTab="11" xr2:uid="{83946E10-F42C-48AB-A445-1BAB4AC5B663}"/>
  </bookViews>
  <sheets>
    <sheet name="Cover" sheetId="11" r:id="rId1"/>
    <sheet name="User Dashboard" sheetId="3" r:id="rId2"/>
    <sheet name="Output" sheetId="8" r:id="rId3"/>
    <sheet name="Commodity" sheetId="6" r:id="rId4"/>
    <sheet name="Emissions" sheetId="5" r:id="rId5"/>
    <sheet name="T&amp;D" sheetId="2" r:id="rId6"/>
    <sheet name="Methane Leakage" sheetId="15" r:id="rId7"/>
    <sheet name="Other Inputs" sheetId="10" r:id="rId8"/>
    <sheet name="AGIC" sheetId="19" r:id="rId9"/>
    <sheet name="IEPR Gas Prices Nominal" sheetId="13" r:id="rId10"/>
    <sheet name="IEPR Gas Prices Real" sheetId="17" r:id="rId11"/>
    <sheet name="GDP Deflator" sheetId="20" r:id="rId12"/>
    <sheet name="References" sheetId="14" r:id="rId13"/>
    <sheet name="Lists" sheetId="4" r:id="rId14"/>
    <sheet name="Change Log" sheetId="16" r:id="rId15"/>
  </sheets>
  <definedNames>
    <definedName name="__123Graph_A" hidden="1">#REF!</definedName>
    <definedName name="__123Graph_ADA" hidden="1">#REF!</definedName>
    <definedName name="__123Graph_ADEPREC2" hidden="1">#REF!</definedName>
    <definedName name="__123Graph_ATREND" hidden="1">#REF!</definedName>
    <definedName name="__123Graph_B" hidden="1">#REF!</definedName>
    <definedName name="__123Graph_BTREND" hidden="1">#REF!</definedName>
    <definedName name="__123Graph_C" hidden="1">#REF!</definedName>
    <definedName name="__123Graph_CTREND" hidden="1">#REF!</definedName>
    <definedName name="__123Graph_X" hidden="1">#REF!</definedName>
    <definedName name="__123Graph_XTREND" hidden="1">#REF!</definedName>
    <definedName name="__FDS_HYPERLINK_TOGGLE_STATE__" hidden="1">"ON"</definedName>
    <definedName name="_1__123Graph_A_FABP_L.WK1_FAB" hidden="1">#REF!</definedName>
    <definedName name="_2__123Graph_ADEPREC" hidden="1">#REF!</definedName>
    <definedName name="_3__123Graph_B_FABP_L.WK1_FAB" hidden="1">#REF!</definedName>
    <definedName name="_4__123Graph_C_FABP_L.WK1_FAB" hidden="1">#REF!</definedName>
    <definedName name="_5__123Graph_X_FABP_L.WK1_FAB" hidden="1">#REF!</definedName>
    <definedName name="_Fill" hidden="1">#REF!</definedName>
    <definedName name="_xlnm._FilterDatabase" localSheetId="9" hidden="1">'IEPR Gas Prices Nominal'!$A$5:$AN$93</definedName>
    <definedName name="_xlnm._FilterDatabase" localSheetId="10" hidden="1">'IEPR Gas Prices Real'!$A$7:$AN$95</definedName>
    <definedName name="_Key1" hidden="1">#REF!</definedName>
    <definedName name="_Key2" hidden="1">#REF!</definedName>
    <definedName name="_Order1" hidden="1">255</definedName>
    <definedName name="_Order2" hidden="1">255</definedName>
    <definedName name="_Sort" hidden="1">#REF!</definedName>
    <definedName name="_Table2_In1" hidden="1">#REF!</definedName>
    <definedName name="_Table2_In2" hidden="1">#REF!</definedName>
    <definedName name="_Table2_Out" hidden="1">#REF!</definedName>
    <definedName name="anscount" hidden="1">3</definedName>
    <definedName name="asd" hidden="1">#REF!</definedName>
    <definedName name="asdf" hidden="1">#REF!</definedName>
    <definedName name="BLPB1" hidden="1">#REF!</definedName>
    <definedName name="BLPB2" hidden="1">#REF!</definedName>
    <definedName name="BLPB3" hidden="1">#REF!</definedName>
    <definedName name="BLPB4" hidden="1">#REF!</definedName>
    <definedName name="BLPB5" hidden="1">#REF!</definedName>
    <definedName name="BLPB6" hidden="1">#REF!</definedName>
    <definedName name="BLPB7" hidden="1">#REF!</definedName>
    <definedName name="BLPB8" hidden="1">#REF!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6_1aUdv1"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HTML_CodePage" hidden="1">1252</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Title" hidden="1">"Daily MTM  Report"</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FAX" hidden="1">"c2100"</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"IQ_REVENUE_EST"</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39146.6970023148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limcount" hidden="1">3</definedName>
    <definedName name="sencount" hidden="1">1</definedName>
    <definedName name="solargraph"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wrn.ALL." hidden="1">{#N/A,#N/A,FALSE,"ASSUMPTIONS";#N/A,#N/A,FALSE,"Valuation Summary";"page1",#N/A,FALSE,"PRESENTATION";"page2",#N/A,FALSE,"PRESENTATION";#N/A,#N/A,FALSE,"ORIGINAL_ROLLBACK"}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Y97SBP." hidden="1">{#N/A,#N/A,FALSE,"FY97";#N/A,#N/A,FALSE,"FY98";#N/A,#N/A,FALSE,"FY99";#N/A,#N/A,FALSE,"FY00";#N/A,#N/A,FALSE,"FY01"}</definedName>
    <definedName name="wrn.PRES_OUT." hidden="1">{"page1",#N/A,FALSE,"PRESENTATION";"page2",#N/A,FALSE,"PRESENTATION";#N/A,#N/A,FALSE,"Valuation Summary"}</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T_CURRENT._.PAGE." hidden="1">{"CURRENT",#N/A,FALSE,"REGISTER"}</definedName>
    <definedName name="wrn.PRINT_HISTORY." hidden="1">{"HISTORY",#N/A,FALSE,"REGISTER"}</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all." hidden="1">{"page1",#N/A,FALSE,"DCM";"page2",#N/A,FALSE,"DCM";"page3",#N/A,FALSE,"DCM";"page4",#N/A,FALSE,"DCM";"page5",#N/A,FALSE,"DCM";"page6",#N/A,FALSE,"DCM";"page7",#N/A,FALSE,"DCM";"page8",#N/A,FALSE,"DCM"}</definedName>
    <definedName name="wrn.sum1." hidden="1">{"Summary","1",FALSE,"Summary"}</definedName>
    <definedName name="wrn.Summary." hidden="1">{"page1",#N/A,FALSE,"DCM";"page3",#N/A,FALSE,"DCM"}</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papers." hidden="1">{#N/A,#N/A,FALSE,"Inputs And Assumptions";#N/A,#N/A,FALSE,"Revenue Allocation";#N/A,#N/A,FALSE,"RSP Surch Allocations";#N/A,#N/A,FALSE,"Generation Calculations";#N/A,#N/A,FALSE,"Test Year 2001 Sales and Revs."}</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3" l="1"/>
  <c r="C5" i="19" l="1"/>
  <c r="B50" i="6" l="1"/>
  <c r="B18" i="6"/>
  <c r="D28" i="5" l="1"/>
  <c r="D27" i="5"/>
  <c r="D24" i="5"/>
  <c r="AM17" i="5"/>
  <c r="AM20" i="5"/>
  <c r="C87" i="20"/>
  <c r="C88" i="20" s="1"/>
  <c r="D5" i="20"/>
  <c r="D7" i="20" s="1"/>
  <c r="B401" i="13"/>
  <c r="C401" i="13"/>
  <c r="E401" i="13" s="1"/>
  <c r="B402" i="13"/>
  <c r="C402" i="13"/>
  <c r="B403" i="13"/>
  <c r="C403" i="13"/>
  <c r="B404" i="13"/>
  <c r="C404" i="13"/>
  <c r="E404" i="13" s="1"/>
  <c r="B405" i="13"/>
  <c r="C405" i="13"/>
  <c r="B406" i="13"/>
  <c r="C406" i="13"/>
  <c r="E406" i="13" s="1"/>
  <c r="B407" i="13"/>
  <c r="C407" i="13"/>
  <c r="E407" i="13" s="1"/>
  <c r="B408" i="13"/>
  <c r="C408" i="13"/>
  <c r="E408" i="13" s="1"/>
  <c r="B409" i="13"/>
  <c r="C409" i="13"/>
  <c r="B410" i="13"/>
  <c r="C410" i="13"/>
  <c r="B411" i="13"/>
  <c r="C411" i="13"/>
  <c r="E411" i="13" s="1"/>
  <c r="B412" i="13"/>
  <c r="C412" i="13"/>
  <c r="E412" i="13" s="1"/>
  <c r="B413" i="13"/>
  <c r="C413" i="13"/>
  <c r="E413" i="13" s="1"/>
  <c r="E402" i="13" l="1"/>
  <c r="E409" i="13"/>
  <c r="E403" i="13"/>
  <c r="E405" i="13"/>
  <c r="D88" i="20"/>
  <c r="D8" i="20"/>
  <c r="D75" i="20"/>
  <c r="D65" i="20"/>
  <c r="D64" i="20"/>
  <c r="D47" i="20"/>
  <c r="D37" i="20"/>
  <c r="D36" i="20"/>
  <c r="D19" i="20"/>
  <c r="D9" i="20"/>
  <c r="D71" i="20"/>
  <c r="D43" i="20"/>
  <c r="D15" i="20"/>
  <c r="D70" i="20"/>
  <c r="D42" i="20"/>
  <c r="D14" i="20"/>
  <c r="D67" i="20"/>
  <c r="D39" i="20"/>
  <c r="D11" i="20"/>
  <c r="D34" i="20"/>
  <c r="D57" i="20"/>
  <c r="D84" i="20"/>
  <c r="D28" i="20"/>
  <c r="D53" i="20"/>
  <c r="D79" i="20"/>
  <c r="D51" i="20"/>
  <c r="D23" i="20"/>
  <c r="D6" i="20"/>
  <c r="D61" i="20"/>
  <c r="D33" i="20"/>
  <c r="D85" i="20"/>
  <c r="D29" i="20"/>
  <c r="D56" i="20"/>
  <c r="D81" i="20"/>
  <c r="D25" i="20"/>
  <c r="D78" i="20"/>
  <c r="D50" i="20"/>
  <c r="D22" i="20"/>
  <c r="D62" i="20"/>
  <c r="D76" i="20"/>
  <c r="D48" i="20"/>
  <c r="D20" i="20"/>
  <c r="C89" i="20"/>
  <c r="D89" i="20" s="1"/>
  <c r="D74" i="20"/>
  <c r="D60" i="20"/>
  <c r="D46" i="20"/>
  <c r="D32" i="20"/>
  <c r="D18" i="20"/>
  <c r="D87" i="20"/>
  <c r="D73" i="20"/>
  <c r="D59" i="20"/>
  <c r="D45" i="20"/>
  <c r="D31" i="20"/>
  <c r="D17" i="20"/>
  <c r="D86" i="20"/>
  <c r="D72" i="20"/>
  <c r="D58" i="20"/>
  <c r="D44" i="20"/>
  <c r="D30" i="20"/>
  <c r="D16" i="20"/>
  <c r="D83" i="20"/>
  <c r="D69" i="20"/>
  <c r="D55" i="20"/>
  <c r="D41" i="20"/>
  <c r="D27" i="20"/>
  <c r="D13" i="20"/>
  <c r="D82" i="20"/>
  <c r="D68" i="20"/>
  <c r="D54" i="20"/>
  <c r="D40" i="20"/>
  <c r="D26" i="20"/>
  <c r="D12" i="20"/>
  <c r="D80" i="20"/>
  <c r="D66" i="20"/>
  <c r="D52" i="20"/>
  <c r="D38" i="20"/>
  <c r="D24" i="20"/>
  <c r="D10" i="20"/>
  <c r="D77" i="20"/>
  <c r="D63" i="20"/>
  <c r="D49" i="20"/>
  <c r="D35" i="20"/>
  <c r="D21" i="20"/>
  <c r="E410" i="13"/>
  <c r="C90" i="20" l="1"/>
  <c r="D90" i="20" s="1"/>
  <c r="C91" i="20" l="1"/>
  <c r="D91" i="20" s="1"/>
  <c r="J401" i="13"/>
  <c r="K401" i="13"/>
  <c r="G401" i="13"/>
  <c r="L401" i="13"/>
  <c r="H401" i="13"/>
  <c r="M401" i="13"/>
  <c r="N401" i="13"/>
  <c r="I401" i="13"/>
  <c r="F401" i="13"/>
  <c r="Q401" i="13" l="1"/>
  <c r="P401" i="13"/>
  <c r="F403" i="13"/>
  <c r="K404" i="13"/>
  <c r="G406" i="13"/>
  <c r="L407" i="13"/>
  <c r="H409" i="13"/>
  <c r="M410" i="13"/>
  <c r="I412" i="13"/>
  <c r="N413" i="13"/>
  <c r="M406" i="13"/>
  <c r="F413" i="13"/>
  <c r="I402" i="13"/>
  <c r="G410" i="13"/>
  <c r="H410" i="13"/>
  <c r="M408" i="13"/>
  <c r="L402" i="13"/>
  <c r="G412" i="13"/>
  <c r="L410" i="13"/>
  <c r="G403" i="13"/>
  <c r="L404" i="13"/>
  <c r="H406" i="13"/>
  <c r="M407" i="13"/>
  <c r="I409" i="13"/>
  <c r="N410" i="13"/>
  <c r="J412" i="13"/>
  <c r="G402" i="13"/>
  <c r="I408" i="13"/>
  <c r="H407" i="13"/>
  <c r="K413" i="13"/>
  <c r="N405" i="13"/>
  <c r="G409" i="13"/>
  <c r="H403" i="13"/>
  <c r="M404" i="13"/>
  <c r="I406" i="13"/>
  <c r="N407" i="13"/>
  <c r="J409" i="13"/>
  <c r="F411" i="13"/>
  <c r="K412" i="13"/>
  <c r="H405" i="13"/>
  <c r="J411" i="13"/>
  <c r="F407" i="13"/>
  <c r="K405" i="13"/>
  <c r="L405" i="13"/>
  <c r="F412" i="13"/>
  <c r="L413" i="13"/>
  <c r="N402" i="13"/>
  <c r="I403" i="13"/>
  <c r="N404" i="13"/>
  <c r="J406" i="13"/>
  <c r="F408" i="13"/>
  <c r="K409" i="13"/>
  <c r="G411" i="13"/>
  <c r="L412" i="13"/>
  <c r="N403" i="13"/>
  <c r="L411" i="13"/>
  <c r="F404" i="13"/>
  <c r="I413" i="13"/>
  <c r="G404" i="13"/>
  <c r="H404" i="13"/>
  <c r="M402" i="13"/>
  <c r="F406" i="13"/>
  <c r="J403" i="13"/>
  <c r="F405" i="13"/>
  <c r="K406" i="13"/>
  <c r="G408" i="13"/>
  <c r="L409" i="13"/>
  <c r="H411" i="13"/>
  <c r="M412" i="13"/>
  <c r="F402" i="13"/>
  <c r="K403" i="13"/>
  <c r="G405" i="13"/>
  <c r="L406" i="13"/>
  <c r="H408" i="13"/>
  <c r="M409" i="13"/>
  <c r="I411" i="13"/>
  <c r="N412" i="13"/>
  <c r="L403" i="13"/>
  <c r="N409" i="13"/>
  <c r="J405" i="13"/>
  <c r="H413" i="13"/>
  <c r="H402" i="13"/>
  <c r="M403" i="13"/>
  <c r="I405" i="13"/>
  <c r="N406" i="13"/>
  <c r="J408" i="13"/>
  <c r="F410" i="13"/>
  <c r="K411" i="13"/>
  <c r="G413" i="13"/>
  <c r="G407" i="13"/>
  <c r="I410" i="13"/>
  <c r="I407" i="13"/>
  <c r="I404" i="13"/>
  <c r="K407" i="13"/>
  <c r="K408" i="13"/>
  <c r="L408" i="13"/>
  <c r="J413" i="13"/>
  <c r="J410" i="13"/>
  <c r="J407" i="13"/>
  <c r="M413" i="13"/>
  <c r="J402" i="13"/>
  <c r="M411" i="13"/>
  <c r="N411" i="13"/>
  <c r="N408" i="13"/>
  <c r="F409" i="13"/>
  <c r="H412" i="13"/>
  <c r="K402" i="13"/>
  <c r="M405" i="13"/>
  <c r="K410" i="13"/>
  <c r="J404" i="13"/>
  <c r="Q405" i="13" l="1"/>
  <c r="P413" i="13"/>
  <c r="Q402" i="13"/>
  <c r="Q413" i="13"/>
  <c r="Q411" i="13"/>
  <c r="P407" i="13"/>
  <c r="P408" i="13"/>
  <c r="Q412" i="13"/>
  <c r="P409" i="13"/>
  <c r="Q409" i="13"/>
  <c r="P405" i="13"/>
  <c r="Q406" i="13"/>
  <c r="P406" i="13"/>
  <c r="Q403" i="13"/>
  <c r="Q408" i="13"/>
  <c r="Q404" i="13"/>
  <c r="P410" i="13"/>
  <c r="P412" i="13"/>
  <c r="P403" i="13"/>
  <c r="P411" i="13"/>
  <c r="P404" i="13"/>
  <c r="Q407" i="13"/>
  <c r="Q410" i="13"/>
  <c r="P402" i="13"/>
  <c r="P403" i="17" l="1"/>
  <c r="Q403" i="17"/>
  <c r="P404" i="17"/>
  <c r="Q404" i="17"/>
  <c r="P405" i="17"/>
  <c r="Q405" i="17"/>
  <c r="P406" i="17"/>
  <c r="Q406" i="17"/>
  <c r="P407" i="17"/>
  <c r="Q407" i="17"/>
  <c r="P408" i="17"/>
  <c r="Q408" i="17"/>
  <c r="P409" i="17"/>
  <c r="Q409" i="17"/>
  <c r="P410" i="17"/>
  <c r="Q410" i="17"/>
  <c r="P411" i="17"/>
  <c r="Q411" i="17"/>
  <c r="P412" i="17"/>
  <c r="Q412" i="17"/>
  <c r="P413" i="17"/>
  <c r="Q413" i="17"/>
  <c r="P414" i="17"/>
  <c r="Q414" i="17"/>
  <c r="P415" i="17"/>
  <c r="Q415" i="17"/>
  <c r="B402" i="17"/>
  <c r="B403" i="17"/>
  <c r="B404" i="17"/>
  <c r="B405" i="17"/>
  <c r="B406" i="17"/>
  <c r="B407" i="17"/>
  <c r="B408" i="17"/>
  <c r="B409" i="17"/>
  <c r="B410" i="17"/>
  <c r="B411" i="17"/>
  <c r="B412" i="17"/>
  <c r="B413" i="17"/>
  <c r="B414" i="17"/>
  <c r="B415" i="17"/>
  <c r="C402" i="17"/>
  <c r="C403" i="17"/>
  <c r="C404" i="17"/>
  <c r="C405" i="17"/>
  <c r="C406" i="17"/>
  <c r="C407" i="17"/>
  <c r="C408" i="17"/>
  <c r="C409" i="17"/>
  <c r="C410" i="17"/>
  <c r="C411" i="17"/>
  <c r="C412" i="17"/>
  <c r="C413" i="17"/>
  <c r="C414" i="17"/>
  <c r="C415" i="17"/>
  <c r="B2" i="17"/>
  <c r="C20" i="10"/>
  <c r="E406" i="17" l="1"/>
  <c r="E402" i="17"/>
  <c r="E412" i="17"/>
  <c r="E411" i="17"/>
  <c r="E410" i="17"/>
  <c r="E405" i="17"/>
  <c r="E409" i="17"/>
  <c r="E407" i="17"/>
  <c r="E408" i="17"/>
  <c r="E415" i="17"/>
  <c r="E414" i="17"/>
  <c r="E413" i="17"/>
  <c r="E404" i="17"/>
  <c r="D20" i="10"/>
  <c r="P8" i="17" l="1"/>
  <c r="C12" i="8" l="1"/>
  <c r="C11" i="8"/>
  <c r="C6" i="8"/>
  <c r="C7" i="8"/>
  <c r="C8" i="8"/>
  <c r="C5" i="8"/>
  <c r="C45" i="2"/>
  <c r="S31" i="8" l="1"/>
  <c r="Q9" i="17"/>
  <c r="Q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Q309" i="17"/>
  <c r="Q310" i="17"/>
  <c r="Q311" i="17"/>
  <c r="Q312" i="17"/>
  <c r="Q313" i="17"/>
  <c r="Q314" i="17"/>
  <c r="Q315" i="17"/>
  <c r="Q316" i="17"/>
  <c r="Q317" i="17"/>
  <c r="Q318" i="17"/>
  <c r="Q319" i="17"/>
  <c r="Q320" i="17"/>
  <c r="Q321" i="17"/>
  <c r="Q322" i="17"/>
  <c r="Q323" i="17"/>
  <c r="Q324" i="17"/>
  <c r="Q325" i="17"/>
  <c r="Q326" i="17"/>
  <c r="Q327" i="17"/>
  <c r="Q328" i="17"/>
  <c r="Q329" i="17"/>
  <c r="Q330" i="17"/>
  <c r="Q331" i="17"/>
  <c r="Q332" i="17"/>
  <c r="Q333" i="17"/>
  <c r="Q334" i="17"/>
  <c r="Q335" i="17"/>
  <c r="Q336" i="17"/>
  <c r="Q337" i="17"/>
  <c r="Q338" i="17"/>
  <c r="Q339" i="17"/>
  <c r="Q340" i="17"/>
  <c r="Q341" i="17"/>
  <c r="Q342" i="17"/>
  <c r="Q343" i="17"/>
  <c r="Q344" i="17"/>
  <c r="Q345" i="17"/>
  <c r="Q346" i="17"/>
  <c r="Q347" i="17"/>
  <c r="Q348" i="17"/>
  <c r="Q349" i="17"/>
  <c r="Q350" i="17"/>
  <c r="Q351" i="17"/>
  <c r="Q352" i="17"/>
  <c r="Q353" i="17"/>
  <c r="Q354" i="17"/>
  <c r="Q355" i="17"/>
  <c r="Q356" i="17"/>
  <c r="Q357" i="17"/>
  <c r="Q358" i="17"/>
  <c r="Q359" i="17"/>
  <c r="Q360" i="17"/>
  <c r="Q361" i="17"/>
  <c r="Q362" i="17"/>
  <c r="Q363" i="17"/>
  <c r="Q364" i="17"/>
  <c r="Q365" i="17"/>
  <c r="Q366" i="17"/>
  <c r="Q367" i="17"/>
  <c r="Q368" i="17"/>
  <c r="Q369" i="17"/>
  <c r="Q370" i="17"/>
  <c r="Q371" i="17"/>
  <c r="Q372" i="17"/>
  <c r="Q373" i="17"/>
  <c r="Q374" i="17"/>
  <c r="Q375" i="17"/>
  <c r="Q376" i="17"/>
  <c r="Q377" i="17"/>
  <c r="Q378" i="17"/>
  <c r="Q379" i="17"/>
  <c r="Q380" i="17"/>
  <c r="Q381" i="17"/>
  <c r="Q382" i="17"/>
  <c r="Q383" i="17"/>
  <c r="Q384" i="17"/>
  <c r="Q385" i="17"/>
  <c r="Q386" i="17"/>
  <c r="Q387" i="17"/>
  <c r="Q388" i="17"/>
  <c r="Q389" i="17"/>
  <c r="Q390" i="17"/>
  <c r="Q391" i="17"/>
  <c r="Q392" i="17"/>
  <c r="Q393" i="17"/>
  <c r="Q394" i="17"/>
  <c r="Q395" i="17"/>
  <c r="Q396" i="17"/>
  <c r="Q397" i="17"/>
  <c r="Q398" i="17"/>
  <c r="Q399" i="17"/>
  <c r="Q400" i="17"/>
  <c r="Q401" i="17"/>
  <c r="Q402" i="17"/>
  <c r="Q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292" i="17"/>
  <c r="P293" i="17"/>
  <c r="P294" i="17"/>
  <c r="P295" i="17"/>
  <c r="P296" i="17"/>
  <c r="P297" i="17"/>
  <c r="P298" i="17"/>
  <c r="P299" i="17"/>
  <c r="P300" i="17"/>
  <c r="P301" i="17"/>
  <c r="P302" i="17"/>
  <c r="P303" i="17"/>
  <c r="P304" i="17"/>
  <c r="P305" i="17"/>
  <c r="P306" i="17"/>
  <c r="P307" i="17"/>
  <c r="P308" i="17"/>
  <c r="P309" i="17"/>
  <c r="P310" i="17"/>
  <c r="P311" i="17"/>
  <c r="P312" i="17"/>
  <c r="P313" i="17"/>
  <c r="P314" i="17"/>
  <c r="P315" i="17"/>
  <c r="P316" i="17"/>
  <c r="P317" i="17"/>
  <c r="P318" i="17"/>
  <c r="P319" i="17"/>
  <c r="P320" i="17"/>
  <c r="P321" i="17"/>
  <c r="P322" i="17"/>
  <c r="P323" i="17"/>
  <c r="P324" i="17"/>
  <c r="P325" i="17"/>
  <c r="P326" i="17"/>
  <c r="P327" i="17"/>
  <c r="P328" i="17"/>
  <c r="P329" i="17"/>
  <c r="P330" i="17"/>
  <c r="P331" i="17"/>
  <c r="P332" i="17"/>
  <c r="P333" i="17"/>
  <c r="P334" i="17"/>
  <c r="P335" i="17"/>
  <c r="P336" i="17"/>
  <c r="P337" i="17"/>
  <c r="P338" i="17"/>
  <c r="P339" i="17"/>
  <c r="P340" i="17"/>
  <c r="P341" i="17"/>
  <c r="P342" i="17"/>
  <c r="P343" i="17"/>
  <c r="P344" i="17"/>
  <c r="P345" i="17"/>
  <c r="P346" i="17"/>
  <c r="P347" i="17"/>
  <c r="P348" i="17"/>
  <c r="P349" i="17"/>
  <c r="P350" i="17"/>
  <c r="P351" i="17"/>
  <c r="P352" i="17"/>
  <c r="P353" i="17"/>
  <c r="P354" i="17"/>
  <c r="P355" i="17"/>
  <c r="P356" i="17"/>
  <c r="P357" i="17"/>
  <c r="P358" i="17"/>
  <c r="P359" i="17"/>
  <c r="P360" i="17"/>
  <c r="P361" i="17"/>
  <c r="P362" i="17"/>
  <c r="P363" i="17"/>
  <c r="P364" i="17"/>
  <c r="P365" i="17"/>
  <c r="P366" i="17"/>
  <c r="P367" i="17"/>
  <c r="P368" i="17"/>
  <c r="P369" i="17"/>
  <c r="P370" i="17"/>
  <c r="P371" i="17"/>
  <c r="P372" i="17"/>
  <c r="P373" i="17"/>
  <c r="P374" i="17"/>
  <c r="P375" i="17"/>
  <c r="P376" i="17"/>
  <c r="P377" i="17"/>
  <c r="P378" i="17"/>
  <c r="P379" i="17"/>
  <c r="P380" i="17"/>
  <c r="P381" i="17"/>
  <c r="P382" i="17"/>
  <c r="P383" i="17"/>
  <c r="P384" i="17"/>
  <c r="P385" i="17"/>
  <c r="P386" i="17"/>
  <c r="P387" i="17"/>
  <c r="P388" i="17"/>
  <c r="P389" i="17"/>
  <c r="P390" i="17"/>
  <c r="P391" i="17"/>
  <c r="P392" i="17"/>
  <c r="P393" i="17"/>
  <c r="P394" i="17"/>
  <c r="P395" i="17"/>
  <c r="P396" i="17"/>
  <c r="P397" i="17"/>
  <c r="P398" i="17"/>
  <c r="P399" i="17"/>
  <c r="P400" i="17"/>
  <c r="P401" i="17"/>
  <c r="P402" i="17"/>
  <c r="C7" i="15" l="1"/>
  <c r="C28" i="3"/>
  <c r="C57" i="3" l="1"/>
  <c r="E23" i="5"/>
  <c r="H22" i="5"/>
  <c r="I22" i="5" s="1"/>
  <c r="E25" i="5" l="1"/>
  <c r="E27" i="5" s="1"/>
  <c r="I28" i="5"/>
  <c r="I27" i="5"/>
  <c r="F23" i="5"/>
  <c r="F24" i="5" s="1"/>
  <c r="E24" i="5"/>
  <c r="J22" i="5"/>
  <c r="K22" i="5" s="1"/>
  <c r="L22" i="5" s="1"/>
  <c r="M22" i="5" s="1"/>
  <c r="N22" i="5" s="1"/>
  <c r="E26" i="5"/>
  <c r="E28" i="5" s="1"/>
  <c r="G23" i="5"/>
  <c r="G24" i="5" s="1"/>
  <c r="N27" i="5" l="1"/>
  <c r="N28" i="5"/>
  <c r="J26" i="5"/>
  <c r="J28" i="5" s="1"/>
  <c r="F26" i="5"/>
  <c r="F28" i="5" s="1"/>
  <c r="J25" i="5"/>
  <c r="J27" i="5" s="1"/>
  <c r="F25" i="5"/>
  <c r="F27" i="5" s="1"/>
  <c r="O22" i="5"/>
  <c r="P22" i="5" s="1"/>
  <c r="Q22" i="5" s="1"/>
  <c r="R22" i="5" s="1"/>
  <c r="S22" i="5" s="1"/>
  <c r="H23" i="5"/>
  <c r="H24" i="5" s="1"/>
  <c r="S28" i="5" l="1"/>
  <c r="S27" i="5"/>
  <c r="G25" i="5"/>
  <c r="G27" i="5" s="1"/>
  <c r="K25" i="5"/>
  <c r="K27" i="5" s="1"/>
  <c r="K26" i="5"/>
  <c r="K28" i="5" s="1"/>
  <c r="G26" i="5"/>
  <c r="G28" i="5" s="1"/>
  <c r="O26" i="5"/>
  <c r="O28" i="5" s="1"/>
  <c r="O25" i="5"/>
  <c r="O27" i="5" s="1"/>
  <c r="T22" i="5"/>
  <c r="U22" i="5" s="1"/>
  <c r="V22" i="5" s="1"/>
  <c r="W22" i="5" s="1"/>
  <c r="X22" i="5" s="1"/>
  <c r="I23" i="5"/>
  <c r="I24" i="5" s="1"/>
  <c r="T26" i="5" l="1"/>
  <c r="T28" i="5" s="1"/>
  <c r="X27" i="5"/>
  <c r="X28" i="5"/>
  <c r="Y22" i="5"/>
  <c r="Z22" i="5" s="1"/>
  <c r="AA22" i="5" s="1"/>
  <c r="AB22" i="5" s="1"/>
  <c r="AC22" i="5" s="1"/>
  <c r="P25" i="5"/>
  <c r="P27" i="5" s="1"/>
  <c r="L26" i="5"/>
  <c r="L28" i="5" s="1"/>
  <c r="P26" i="5"/>
  <c r="P28" i="5" s="1"/>
  <c r="L25" i="5"/>
  <c r="L27" i="5" s="1"/>
  <c r="H26" i="5"/>
  <c r="H28" i="5" s="1"/>
  <c r="U26" i="5"/>
  <c r="U28" i="5" s="1"/>
  <c r="H25" i="5"/>
  <c r="H27" i="5" s="1"/>
  <c r="T25" i="5"/>
  <c r="T27" i="5" s="1"/>
  <c r="J23" i="5"/>
  <c r="J24" i="5" s="1"/>
  <c r="AD26" i="5" l="1"/>
  <c r="AC27" i="5"/>
  <c r="AC28" i="5"/>
  <c r="Y25" i="5"/>
  <c r="Y27" i="5" s="1"/>
  <c r="AE26" i="5"/>
  <c r="Z25" i="5"/>
  <c r="Z27" i="5" s="1"/>
  <c r="V26" i="5"/>
  <c r="V28" i="5" s="1"/>
  <c r="AD22" i="5"/>
  <c r="AE22" i="5" s="1"/>
  <c r="AF22" i="5" s="1"/>
  <c r="U25" i="5"/>
  <c r="U27" i="5" s="1"/>
  <c r="Q26" i="5"/>
  <c r="Q28" i="5" s="1"/>
  <c r="M26" i="5"/>
  <c r="M28" i="5" s="1"/>
  <c r="Y26" i="5"/>
  <c r="Y28" i="5" s="1"/>
  <c r="M25" i="5"/>
  <c r="M27" i="5" s="1"/>
  <c r="Q25" i="5"/>
  <c r="Q27" i="5" s="1"/>
  <c r="AD25" i="5"/>
  <c r="K23" i="5"/>
  <c r="K24" i="5" s="1"/>
  <c r="AE28" i="5" l="1"/>
  <c r="AD27" i="5"/>
  <c r="AD28" i="5"/>
  <c r="Z26" i="5"/>
  <c r="Z28" i="5" s="1"/>
  <c r="R26" i="5"/>
  <c r="R28" i="5" s="1"/>
  <c r="W26" i="5"/>
  <c r="W28" i="5" s="1"/>
  <c r="AE25" i="5"/>
  <c r="AE27" i="5" s="1"/>
  <c r="V25" i="5"/>
  <c r="V27" i="5" s="1"/>
  <c r="AA25" i="5"/>
  <c r="AA27" i="5" s="1"/>
  <c r="R25" i="5"/>
  <c r="R27" i="5" s="1"/>
  <c r="AF26" i="5"/>
  <c r="AF28" i="5" s="1"/>
  <c r="L23" i="5"/>
  <c r="L24" i="5" s="1"/>
  <c r="AG26" i="5" l="1"/>
  <c r="AG28" i="5" s="1"/>
  <c r="AF25" i="5"/>
  <c r="AF27" i="5" s="1"/>
  <c r="AB25" i="5"/>
  <c r="AB27" i="5" s="1"/>
  <c r="AA26" i="5"/>
  <c r="AA28" i="5" s="1"/>
  <c r="W25" i="5"/>
  <c r="W27" i="5" s="1"/>
  <c r="M23" i="5"/>
  <c r="M24" i="5" s="1"/>
  <c r="AH26" i="5" l="1"/>
  <c r="AH28" i="5" s="1"/>
  <c r="AB26" i="5"/>
  <c r="AB28" i="5" s="1"/>
  <c r="AG25" i="5"/>
  <c r="AG27" i="5" s="1"/>
  <c r="N23" i="5"/>
  <c r="N24" i="5" s="1"/>
  <c r="AI26" i="5" l="1"/>
  <c r="AI28" i="5" s="1"/>
  <c r="AH25" i="5"/>
  <c r="AH27" i="5" s="1"/>
  <c r="O23" i="5"/>
  <c r="O24" i="5" s="1"/>
  <c r="AI25" i="5" l="1"/>
  <c r="AI27" i="5" s="1"/>
  <c r="AJ26" i="5"/>
  <c r="AJ28" i="5" s="1"/>
  <c r="P23" i="5"/>
  <c r="P24" i="5" s="1"/>
  <c r="AJ25" i="5" l="1"/>
  <c r="AJ27" i="5" s="1"/>
  <c r="AK26" i="5"/>
  <c r="AK28" i="5" s="1"/>
  <c r="Q23" i="5"/>
  <c r="Q24" i="5" s="1"/>
  <c r="AK25" i="5" l="1"/>
  <c r="AK27" i="5" s="1"/>
  <c r="AL26" i="5"/>
  <c r="R23" i="5"/>
  <c r="R24" i="5" s="1"/>
  <c r="AM26" i="5" l="1"/>
  <c r="AL28" i="5"/>
  <c r="AL25" i="5"/>
  <c r="S23" i="5"/>
  <c r="S24" i="5" s="1"/>
  <c r="AL27" i="5" l="1"/>
  <c r="AM25" i="5"/>
  <c r="AM28" i="5"/>
  <c r="T23" i="5"/>
  <c r="T24" i="5" s="1"/>
  <c r="AM27" i="5" l="1"/>
  <c r="U23" i="5"/>
  <c r="U24" i="5" s="1"/>
  <c r="V23" i="5" l="1"/>
  <c r="V24" i="5" s="1"/>
  <c r="W23" i="5" l="1"/>
  <c r="W24" i="5" s="1"/>
  <c r="X23" i="5" l="1"/>
  <c r="X24" i="5" s="1"/>
  <c r="Y23" i="5" l="1"/>
  <c r="Y24" i="5" s="1"/>
  <c r="Z23" i="5" l="1"/>
  <c r="Z24" i="5" s="1"/>
  <c r="AA23" i="5" l="1"/>
  <c r="AA24" i="5" s="1"/>
  <c r="AB23" i="5" l="1"/>
  <c r="AB24" i="5" s="1"/>
  <c r="AC23" i="5" l="1"/>
  <c r="AC24" i="5" s="1"/>
  <c r="AD23" i="5" l="1"/>
  <c r="AD24" i="5" s="1"/>
  <c r="AE23" i="5" l="1"/>
  <c r="AE24" i="5" s="1"/>
  <c r="AF23" i="5" l="1"/>
  <c r="AF24" i="5" s="1"/>
  <c r="AG23" i="5" l="1"/>
  <c r="AG24" i="5" s="1"/>
  <c r="AH23" i="5" l="1"/>
  <c r="AH24" i="5" s="1"/>
  <c r="AI23" i="5" l="1"/>
  <c r="AI24" i="5" s="1"/>
  <c r="AJ23" i="5" l="1"/>
  <c r="AJ24" i="5" s="1"/>
  <c r="AK23" i="5" l="1"/>
  <c r="AK24" i="5" s="1"/>
  <c r="AL23" i="5" l="1"/>
  <c r="AM23" i="5" l="1"/>
  <c r="AL24" i="5"/>
  <c r="E15" i="2"/>
  <c r="F15" i="2" s="1"/>
  <c r="AM24" i="5" l="1"/>
  <c r="AL20" i="5"/>
  <c r="AK20" i="5"/>
  <c r="AL17" i="5"/>
  <c r="AK17" i="5"/>
  <c r="E4" i="2" l="1"/>
  <c r="F4" i="2" s="1"/>
  <c r="G4" i="2" l="1"/>
  <c r="H4" i="2" s="1"/>
  <c r="I4" i="2" s="1"/>
  <c r="J4" i="2" s="1"/>
  <c r="K4" i="2" s="1"/>
  <c r="L4" i="2" s="1"/>
  <c r="M4" i="2" s="1"/>
  <c r="N4" i="2" s="1"/>
  <c r="O4" i="2" s="1"/>
  <c r="P4" i="2" s="1"/>
  <c r="Q4" i="2" s="1"/>
  <c r="R4" i="2" s="1"/>
  <c r="S4" i="2" s="1"/>
  <c r="T4" i="2" s="1"/>
  <c r="U4" i="2" s="1"/>
  <c r="V4" i="2" s="1"/>
  <c r="W4" i="2" s="1"/>
  <c r="X4" i="2" s="1"/>
  <c r="Y4" i="2" s="1"/>
  <c r="Z4" i="2" s="1"/>
  <c r="AA4" i="2" s="1"/>
  <c r="AB4" i="2" s="1"/>
  <c r="AC4" i="2" s="1"/>
  <c r="AD4" i="2" s="1"/>
  <c r="AE4" i="2" s="1"/>
  <c r="AF4" i="2" s="1"/>
  <c r="AG4" i="2" s="1"/>
  <c r="AH4" i="2" s="1"/>
  <c r="AI4" i="2" s="1"/>
  <c r="C15" i="2"/>
  <c r="C400" i="13"/>
  <c r="B400" i="13"/>
  <c r="C399" i="13"/>
  <c r="B399" i="13"/>
  <c r="C398" i="13"/>
  <c r="B398" i="13"/>
  <c r="C397" i="13"/>
  <c r="B397" i="13"/>
  <c r="C396" i="13"/>
  <c r="B396" i="13"/>
  <c r="C395" i="13"/>
  <c r="B395" i="13"/>
  <c r="C394" i="13"/>
  <c r="B394" i="13"/>
  <c r="C393" i="13"/>
  <c r="B393" i="13"/>
  <c r="C392" i="13"/>
  <c r="B392" i="13"/>
  <c r="C391" i="13"/>
  <c r="B391" i="13"/>
  <c r="C390" i="13"/>
  <c r="B390" i="13"/>
  <c r="C389" i="13"/>
  <c r="B389" i="13"/>
  <c r="C388" i="13"/>
  <c r="B388" i="13"/>
  <c r="C387" i="13"/>
  <c r="B387" i="13"/>
  <c r="C386" i="13"/>
  <c r="B386" i="13"/>
  <c r="C385" i="13"/>
  <c r="B385" i="13"/>
  <c r="C384" i="13"/>
  <c r="B384" i="13"/>
  <c r="C383" i="13"/>
  <c r="B383" i="13"/>
  <c r="C382" i="13"/>
  <c r="B382" i="13"/>
  <c r="C381" i="13"/>
  <c r="B381" i="13"/>
  <c r="C380" i="13"/>
  <c r="B380" i="13"/>
  <c r="C379" i="13"/>
  <c r="B379" i="13"/>
  <c r="C378" i="13"/>
  <c r="B378" i="13"/>
  <c r="C377" i="13"/>
  <c r="B377" i="13"/>
  <c r="C376" i="13"/>
  <c r="B376" i="13"/>
  <c r="C375" i="13"/>
  <c r="B375" i="13"/>
  <c r="C374" i="13"/>
  <c r="B374" i="13"/>
  <c r="C373" i="13"/>
  <c r="B373" i="13"/>
  <c r="C372" i="13"/>
  <c r="B372" i="13"/>
  <c r="C371" i="13"/>
  <c r="B371" i="13"/>
  <c r="C370" i="13"/>
  <c r="B370" i="13"/>
  <c r="C369" i="13"/>
  <c r="B369" i="13"/>
  <c r="C368" i="13"/>
  <c r="B368" i="13"/>
  <c r="C367" i="13"/>
  <c r="B367" i="13"/>
  <c r="C366" i="13"/>
  <c r="B366" i="13"/>
  <c r="C365" i="13"/>
  <c r="B365" i="13"/>
  <c r="C364" i="13"/>
  <c r="B364" i="13"/>
  <c r="C363" i="13"/>
  <c r="B363" i="13"/>
  <c r="C362" i="13"/>
  <c r="B362" i="13"/>
  <c r="C361" i="13"/>
  <c r="B361" i="13"/>
  <c r="C360" i="13"/>
  <c r="B360" i="13"/>
  <c r="C359" i="13"/>
  <c r="B359" i="13"/>
  <c r="C358" i="13"/>
  <c r="B358" i="13"/>
  <c r="C357" i="13"/>
  <c r="B357" i="13"/>
  <c r="C356" i="13"/>
  <c r="B356" i="13"/>
  <c r="C355" i="13"/>
  <c r="B355" i="13"/>
  <c r="C354" i="13"/>
  <c r="B354" i="13"/>
  <c r="C353" i="13"/>
  <c r="B353" i="13"/>
  <c r="C352" i="13"/>
  <c r="B352" i="13"/>
  <c r="C351" i="13"/>
  <c r="B351" i="13"/>
  <c r="C350" i="13"/>
  <c r="B350" i="13"/>
  <c r="C349" i="13"/>
  <c r="B349" i="13"/>
  <c r="C348" i="13"/>
  <c r="B348" i="13"/>
  <c r="C347" i="13"/>
  <c r="B347" i="13"/>
  <c r="C346" i="13"/>
  <c r="B346" i="13"/>
  <c r="C345" i="13"/>
  <c r="B345" i="13"/>
  <c r="C344" i="13"/>
  <c r="B344" i="13"/>
  <c r="C343" i="13"/>
  <c r="B343" i="13"/>
  <c r="C342" i="13"/>
  <c r="B342" i="13"/>
  <c r="C341" i="13"/>
  <c r="B341" i="13"/>
  <c r="C340" i="13"/>
  <c r="B340" i="13"/>
  <c r="C339" i="13"/>
  <c r="B339" i="13"/>
  <c r="C338" i="13"/>
  <c r="B338" i="13"/>
  <c r="C337" i="13"/>
  <c r="B337" i="13"/>
  <c r="C336" i="13"/>
  <c r="B336" i="13"/>
  <c r="C335" i="13"/>
  <c r="B335" i="13"/>
  <c r="C334" i="13"/>
  <c r="B334" i="13"/>
  <c r="C333" i="13"/>
  <c r="B333" i="13"/>
  <c r="C332" i="13"/>
  <c r="B332" i="13"/>
  <c r="C331" i="13"/>
  <c r="B331" i="13"/>
  <c r="C330" i="13"/>
  <c r="B330" i="13"/>
  <c r="C329" i="13"/>
  <c r="B329" i="13"/>
  <c r="C328" i="13"/>
  <c r="B328" i="13"/>
  <c r="C327" i="13"/>
  <c r="B327" i="13"/>
  <c r="C326" i="13"/>
  <c r="B326" i="13"/>
  <c r="C325" i="13"/>
  <c r="B325" i="13"/>
  <c r="C324" i="13"/>
  <c r="B324" i="13"/>
  <c r="C323" i="13"/>
  <c r="B323" i="13"/>
  <c r="C322" i="13"/>
  <c r="B322" i="13"/>
  <c r="C321" i="13"/>
  <c r="B321" i="13"/>
  <c r="C320" i="13"/>
  <c r="B320" i="13"/>
  <c r="C319" i="13"/>
  <c r="B319" i="13"/>
  <c r="C318" i="13"/>
  <c r="B318" i="13"/>
  <c r="C317" i="13"/>
  <c r="B317" i="13"/>
  <c r="C316" i="13"/>
  <c r="B316" i="13"/>
  <c r="C315" i="13"/>
  <c r="B315" i="13"/>
  <c r="C314" i="13"/>
  <c r="B314" i="13"/>
  <c r="C313" i="13"/>
  <c r="B313" i="13"/>
  <c r="C312" i="13"/>
  <c r="B312" i="13"/>
  <c r="C311" i="13"/>
  <c r="B311" i="13"/>
  <c r="C310" i="13"/>
  <c r="B310" i="13"/>
  <c r="C309" i="13"/>
  <c r="B309" i="13"/>
  <c r="C308" i="13"/>
  <c r="B308" i="13"/>
  <c r="C307" i="13"/>
  <c r="B307" i="13"/>
  <c r="C306" i="13"/>
  <c r="B306" i="13"/>
  <c r="C305" i="13"/>
  <c r="B305" i="13"/>
  <c r="C304" i="13"/>
  <c r="B304" i="13"/>
  <c r="C303" i="13"/>
  <c r="B303" i="13"/>
  <c r="C302" i="13"/>
  <c r="B302" i="13"/>
  <c r="C301" i="13"/>
  <c r="B301" i="13"/>
  <c r="C300" i="13"/>
  <c r="B300" i="13"/>
  <c r="C299" i="13"/>
  <c r="B299" i="13"/>
  <c r="C298" i="13"/>
  <c r="B298" i="13"/>
  <c r="C297" i="13"/>
  <c r="B297" i="13"/>
  <c r="C296" i="13"/>
  <c r="B296" i="13"/>
  <c r="C295" i="13"/>
  <c r="B295" i="13"/>
  <c r="C294" i="13"/>
  <c r="B294" i="13"/>
  <c r="C293" i="13"/>
  <c r="B293" i="13"/>
  <c r="C292" i="13"/>
  <c r="B292" i="13"/>
  <c r="C291" i="13"/>
  <c r="B291" i="13"/>
  <c r="C290" i="13"/>
  <c r="B290" i="13"/>
  <c r="C289" i="13"/>
  <c r="B289" i="13"/>
  <c r="C288" i="13"/>
  <c r="B288" i="13"/>
  <c r="C287" i="13"/>
  <c r="B287" i="13"/>
  <c r="C286" i="13"/>
  <c r="B286" i="13"/>
  <c r="C285" i="13"/>
  <c r="B285" i="13"/>
  <c r="C284" i="13"/>
  <c r="B284" i="13"/>
  <c r="C283" i="13"/>
  <c r="B283" i="13"/>
  <c r="C282" i="13"/>
  <c r="B282" i="13"/>
  <c r="C281" i="13"/>
  <c r="B281" i="13"/>
  <c r="C280" i="13"/>
  <c r="B280" i="13"/>
  <c r="C279" i="13"/>
  <c r="B279" i="13"/>
  <c r="C278" i="13"/>
  <c r="B278" i="13"/>
  <c r="C277" i="13"/>
  <c r="B277" i="13"/>
  <c r="C276" i="13"/>
  <c r="B276" i="13"/>
  <c r="C275" i="13"/>
  <c r="B275" i="13"/>
  <c r="C274" i="13"/>
  <c r="B274" i="13"/>
  <c r="C273" i="13"/>
  <c r="B273" i="13"/>
  <c r="C272" i="13"/>
  <c r="B272" i="13"/>
  <c r="C271" i="13"/>
  <c r="B271" i="13"/>
  <c r="C270" i="13"/>
  <c r="B270" i="13"/>
  <c r="C269" i="13"/>
  <c r="B269" i="13"/>
  <c r="C268" i="13"/>
  <c r="B268" i="13"/>
  <c r="C267" i="13"/>
  <c r="B267" i="13"/>
  <c r="C266" i="13"/>
  <c r="B266" i="13"/>
  <c r="C265" i="13"/>
  <c r="B265" i="13"/>
  <c r="C264" i="13"/>
  <c r="B264" i="13"/>
  <c r="C263" i="13"/>
  <c r="B263" i="13"/>
  <c r="C262" i="13"/>
  <c r="B262" i="13"/>
  <c r="C261" i="13"/>
  <c r="B261" i="13"/>
  <c r="C260" i="13"/>
  <c r="B260" i="13"/>
  <c r="C259" i="13"/>
  <c r="B259" i="13"/>
  <c r="C258" i="13"/>
  <c r="B258" i="13"/>
  <c r="C257" i="13"/>
  <c r="B257" i="13"/>
  <c r="C256" i="13"/>
  <c r="B256" i="13"/>
  <c r="C255" i="13"/>
  <c r="B255" i="13"/>
  <c r="C254" i="13"/>
  <c r="B254" i="13"/>
  <c r="C253" i="13"/>
  <c r="B253" i="13"/>
  <c r="C252" i="13"/>
  <c r="B252" i="13"/>
  <c r="C251" i="13"/>
  <c r="B251" i="13"/>
  <c r="C250" i="13"/>
  <c r="B250" i="13"/>
  <c r="C249" i="13"/>
  <c r="B249" i="13"/>
  <c r="C248" i="13"/>
  <c r="B248" i="13"/>
  <c r="C247" i="13"/>
  <c r="B247" i="13"/>
  <c r="C246" i="13"/>
  <c r="B246" i="13"/>
  <c r="C245" i="13"/>
  <c r="B245" i="13"/>
  <c r="C244" i="13"/>
  <c r="B244" i="13"/>
  <c r="C243" i="13"/>
  <c r="B243" i="13"/>
  <c r="C242" i="13"/>
  <c r="B242" i="13"/>
  <c r="C241" i="13"/>
  <c r="B241" i="13"/>
  <c r="C240" i="13"/>
  <c r="B240" i="13"/>
  <c r="C239" i="13"/>
  <c r="B239" i="13"/>
  <c r="C238" i="13"/>
  <c r="B238" i="13"/>
  <c r="C237" i="13"/>
  <c r="B237" i="13"/>
  <c r="C236" i="13"/>
  <c r="B236" i="13"/>
  <c r="C235" i="13"/>
  <c r="B235" i="13"/>
  <c r="C234" i="13"/>
  <c r="B234" i="13"/>
  <c r="C233" i="13"/>
  <c r="B233" i="13"/>
  <c r="C232" i="13"/>
  <c r="B232" i="13"/>
  <c r="C231" i="13"/>
  <c r="B231" i="13"/>
  <c r="C230" i="13"/>
  <c r="B230" i="13"/>
  <c r="C229" i="13"/>
  <c r="B229" i="13"/>
  <c r="C228" i="13"/>
  <c r="B228" i="13"/>
  <c r="C227" i="13"/>
  <c r="B227" i="13"/>
  <c r="C226" i="13"/>
  <c r="B226" i="13"/>
  <c r="C225" i="13"/>
  <c r="B225" i="13"/>
  <c r="C224" i="13"/>
  <c r="B224" i="13"/>
  <c r="C223" i="13"/>
  <c r="B223" i="13"/>
  <c r="C222" i="13"/>
  <c r="B222" i="13"/>
  <c r="C221" i="13"/>
  <c r="B221" i="13"/>
  <c r="C220" i="13"/>
  <c r="B220" i="13"/>
  <c r="C219" i="13"/>
  <c r="B219" i="13"/>
  <c r="C218" i="13"/>
  <c r="B218" i="13"/>
  <c r="C217" i="13"/>
  <c r="B217" i="13"/>
  <c r="C216" i="13"/>
  <c r="B216" i="13"/>
  <c r="C215" i="13"/>
  <c r="B215" i="13"/>
  <c r="C214" i="13"/>
  <c r="B214" i="13"/>
  <c r="C213" i="13"/>
  <c r="B213" i="13"/>
  <c r="C212" i="13"/>
  <c r="B212" i="13"/>
  <c r="C211" i="13"/>
  <c r="B211" i="13"/>
  <c r="C210" i="13"/>
  <c r="B210" i="13"/>
  <c r="C209" i="13"/>
  <c r="B209" i="13"/>
  <c r="C208" i="13"/>
  <c r="B208" i="13"/>
  <c r="C207" i="13"/>
  <c r="B207" i="13"/>
  <c r="C206" i="13"/>
  <c r="B206" i="13"/>
  <c r="C205" i="13"/>
  <c r="B205" i="13"/>
  <c r="C204" i="13"/>
  <c r="B204" i="13"/>
  <c r="C203" i="13"/>
  <c r="B203" i="13"/>
  <c r="C202" i="13"/>
  <c r="B202" i="13"/>
  <c r="C201" i="13"/>
  <c r="B201" i="13"/>
  <c r="C200" i="13"/>
  <c r="B200" i="13"/>
  <c r="C199" i="13"/>
  <c r="B199" i="13"/>
  <c r="C198" i="13"/>
  <c r="B198" i="13"/>
  <c r="C197" i="13"/>
  <c r="B197" i="13"/>
  <c r="C196" i="13"/>
  <c r="B196" i="13"/>
  <c r="C195" i="13"/>
  <c r="B195" i="13"/>
  <c r="C194" i="13"/>
  <c r="B194" i="13"/>
  <c r="C193" i="13"/>
  <c r="B193" i="13"/>
  <c r="C192" i="13"/>
  <c r="B192" i="13"/>
  <c r="C191" i="13"/>
  <c r="B191" i="13"/>
  <c r="C190" i="13"/>
  <c r="B190" i="13"/>
  <c r="C189" i="13"/>
  <c r="B189" i="13"/>
  <c r="C188" i="13"/>
  <c r="B188" i="13"/>
  <c r="C187" i="13"/>
  <c r="B187" i="13"/>
  <c r="C186" i="13"/>
  <c r="B186" i="13"/>
  <c r="C185" i="13"/>
  <c r="B185" i="13"/>
  <c r="C184" i="13"/>
  <c r="B184" i="13"/>
  <c r="C183" i="13"/>
  <c r="B183" i="13"/>
  <c r="C182" i="13"/>
  <c r="B182" i="13"/>
  <c r="C181" i="13"/>
  <c r="B181" i="13"/>
  <c r="C180" i="13"/>
  <c r="B180" i="13"/>
  <c r="C179" i="13"/>
  <c r="B179" i="13"/>
  <c r="C178" i="13"/>
  <c r="B178" i="13"/>
  <c r="C177" i="13"/>
  <c r="B177" i="13"/>
  <c r="C176" i="13"/>
  <c r="B176" i="13"/>
  <c r="C175" i="13"/>
  <c r="B175" i="13"/>
  <c r="C174" i="13"/>
  <c r="B174" i="13"/>
  <c r="C173" i="13"/>
  <c r="B173" i="13"/>
  <c r="C172" i="13"/>
  <c r="B172" i="13"/>
  <c r="C171" i="13"/>
  <c r="B171" i="13"/>
  <c r="C170" i="13"/>
  <c r="B170" i="13"/>
  <c r="C169" i="13"/>
  <c r="B169" i="13"/>
  <c r="C168" i="13"/>
  <c r="B168" i="13"/>
  <c r="C167" i="13"/>
  <c r="B167" i="13"/>
  <c r="C166" i="13"/>
  <c r="B166" i="13"/>
  <c r="C165" i="13"/>
  <c r="B165" i="13"/>
  <c r="C164" i="13"/>
  <c r="B164" i="13"/>
  <c r="C163" i="13"/>
  <c r="B163" i="13"/>
  <c r="C162" i="13"/>
  <c r="B162" i="13"/>
  <c r="C161" i="13"/>
  <c r="B161" i="13"/>
  <c r="C160" i="13"/>
  <c r="B160" i="13"/>
  <c r="C159" i="13"/>
  <c r="B159" i="13"/>
  <c r="C158" i="13"/>
  <c r="B158" i="13"/>
  <c r="C157" i="13"/>
  <c r="B157" i="13"/>
  <c r="C156" i="13"/>
  <c r="B156" i="13"/>
  <c r="C155" i="13"/>
  <c r="B155" i="13"/>
  <c r="C154" i="13"/>
  <c r="B154" i="13"/>
  <c r="C153" i="13"/>
  <c r="B153" i="13"/>
  <c r="C152" i="13"/>
  <c r="B152" i="13"/>
  <c r="C151" i="13"/>
  <c r="B151" i="13"/>
  <c r="C150" i="13"/>
  <c r="B150" i="13"/>
  <c r="C149" i="13"/>
  <c r="B149" i="13"/>
  <c r="C148" i="13"/>
  <c r="B148" i="13"/>
  <c r="C147" i="13"/>
  <c r="B147" i="13"/>
  <c r="C146" i="13"/>
  <c r="B146" i="13"/>
  <c r="C145" i="13"/>
  <c r="B145" i="13"/>
  <c r="C144" i="13"/>
  <c r="B144" i="13"/>
  <c r="C143" i="13"/>
  <c r="B143" i="13"/>
  <c r="C142" i="13"/>
  <c r="B142" i="13"/>
  <c r="C141" i="13"/>
  <c r="B141" i="13"/>
  <c r="C140" i="13"/>
  <c r="B140" i="13"/>
  <c r="C139" i="13"/>
  <c r="B139" i="13"/>
  <c r="C138" i="13"/>
  <c r="B138" i="13"/>
  <c r="C137" i="13"/>
  <c r="B137" i="13"/>
  <c r="C136" i="13"/>
  <c r="B136" i="13"/>
  <c r="C135" i="13"/>
  <c r="B135" i="13"/>
  <c r="C134" i="13"/>
  <c r="B134" i="13"/>
  <c r="C133" i="13"/>
  <c r="B133" i="13"/>
  <c r="C132" i="13"/>
  <c r="B132" i="13"/>
  <c r="C131" i="13"/>
  <c r="B131" i="13"/>
  <c r="C130" i="13"/>
  <c r="B130" i="13"/>
  <c r="C129" i="13"/>
  <c r="B129" i="13"/>
  <c r="C128" i="13"/>
  <c r="B128" i="13"/>
  <c r="C127" i="13"/>
  <c r="B127" i="13"/>
  <c r="C126" i="13"/>
  <c r="B126" i="13"/>
  <c r="C125" i="13"/>
  <c r="B125" i="13"/>
  <c r="C124" i="13"/>
  <c r="B124" i="13"/>
  <c r="C123" i="13"/>
  <c r="B123" i="13"/>
  <c r="C122" i="13"/>
  <c r="B122" i="13"/>
  <c r="C121" i="13"/>
  <c r="B121" i="13"/>
  <c r="C120" i="13"/>
  <c r="B120" i="13"/>
  <c r="C119" i="13"/>
  <c r="B119" i="13"/>
  <c r="C118" i="13"/>
  <c r="B118" i="13"/>
  <c r="C117" i="13"/>
  <c r="B117" i="13"/>
  <c r="C116" i="13"/>
  <c r="B116" i="13"/>
  <c r="C115" i="13"/>
  <c r="B115" i="13"/>
  <c r="C114" i="13"/>
  <c r="B114" i="13"/>
  <c r="C113" i="13"/>
  <c r="B113" i="13"/>
  <c r="C112" i="13"/>
  <c r="B112" i="13"/>
  <c r="C111" i="13"/>
  <c r="B111" i="13"/>
  <c r="C110" i="13"/>
  <c r="B110" i="13"/>
  <c r="C109" i="13"/>
  <c r="B109" i="13"/>
  <c r="C108" i="13"/>
  <c r="B108" i="13"/>
  <c r="C107" i="13"/>
  <c r="B107" i="13"/>
  <c r="C106" i="13"/>
  <c r="B106" i="13"/>
  <c r="C105" i="13"/>
  <c r="B105" i="13"/>
  <c r="C104" i="13"/>
  <c r="B104" i="13"/>
  <c r="C103" i="13"/>
  <c r="B103" i="13"/>
  <c r="C102" i="13"/>
  <c r="B102" i="13"/>
  <c r="C101" i="13"/>
  <c r="B101" i="13"/>
  <c r="C100" i="13"/>
  <c r="B100" i="13"/>
  <c r="C99" i="13"/>
  <c r="B99" i="13"/>
  <c r="C98" i="13"/>
  <c r="B98" i="13"/>
  <c r="C97" i="13"/>
  <c r="B97" i="13"/>
  <c r="C96" i="13"/>
  <c r="B96" i="13"/>
  <c r="C95" i="13"/>
  <c r="B95" i="13"/>
  <c r="C94" i="13"/>
  <c r="B94" i="13"/>
  <c r="C93" i="13"/>
  <c r="B93" i="13"/>
  <c r="C92" i="13"/>
  <c r="B92" i="13"/>
  <c r="C91" i="13"/>
  <c r="B91" i="13"/>
  <c r="C90" i="13"/>
  <c r="B90" i="13"/>
  <c r="C89" i="13"/>
  <c r="B89" i="13"/>
  <c r="C88" i="13"/>
  <c r="B88" i="13"/>
  <c r="C87" i="13"/>
  <c r="B87" i="13"/>
  <c r="C86" i="13"/>
  <c r="B86" i="13"/>
  <c r="C85" i="13"/>
  <c r="B85" i="13"/>
  <c r="C84" i="13"/>
  <c r="B84" i="13"/>
  <c r="C83" i="13"/>
  <c r="B83" i="13"/>
  <c r="C82" i="13"/>
  <c r="B82" i="13"/>
  <c r="C81" i="13"/>
  <c r="B81" i="13"/>
  <c r="C80" i="13"/>
  <c r="B80" i="13"/>
  <c r="C79" i="13"/>
  <c r="B79" i="13"/>
  <c r="C78" i="13"/>
  <c r="B78" i="13"/>
  <c r="C77" i="13"/>
  <c r="B77" i="13"/>
  <c r="C76" i="13"/>
  <c r="B76" i="13"/>
  <c r="C75" i="13"/>
  <c r="B75" i="13"/>
  <c r="C74" i="13"/>
  <c r="B74" i="13"/>
  <c r="C73" i="13"/>
  <c r="B73" i="13"/>
  <c r="C72" i="13"/>
  <c r="B72" i="13"/>
  <c r="C71" i="13"/>
  <c r="B71" i="13"/>
  <c r="C70" i="13"/>
  <c r="B70" i="13"/>
  <c r="C69" i="13"/>
  <c r="B69" i="13"/>
  <c r="C68" i="13"/>
  <c r="B68" i="13"/>
  <c r="C67" i="13"/>
  <c r="B67" i="13"/>
  <c r="C66" i="13"/>
  <c r="B66" i="13"/>
  <c r="C65" i="13"/>
  <c r="B65" i="13"/>
  <c r="C64" i="13"/>
  <c r="B64" i="13"/>
  <c r="C63" i="13"/>
  <c r="B63" i="13"/>
  <c r="C62" i="13"/>
  <c r="B62" i="13"/>
  <c r="C61" i="13"/>
  <c r="B61" i="13"/>
  <c r="C60" i="13"/>
  <c r="B60" i="13"/>
  <c r="C59" i="13"/>
  <c r="B59" i="13"/>
  <c r="C58" i="13"/>
  <c r="B58" i="13"/>
  <c r="C57" i="13"/>
  <c r="B57" i="13"/>
  <c r="C56" i="13"/>
  <c r="B56" i="13"/>
  <c r="C55" i="13"/>
  <c r="B55" i="13"/>
  <c r="C54" i="13"/>
  <c r="B54" i="13"/>
  <c r="C53" i="13"/>
  <c r="B53" i="13"/>
  <c r="C52" i="13"/>
  <c r="B52" i="13"/>
  <c r="C51" i="13"/>
  <c r="B51" i="13"/>
  <c r="C50" i="13"/>
  <c r="B50" i="13"/>
  <c r="C49" i="13"/>
  <c r="B49" i="13"/>
  <c r="C48" i="13"/>
  <c r="B48" i="13"/>
  <c r="C47" i="13"/>
  <c r="B47" i="13"/>
  <c r="C46" i="13"/>
  <c r="B46" i="13"/>
  <c r="C45" i="13"/>
  <c r="B45" i="13"/>
  <c r="C44" i="13"/>
  <c r="B44" i="13"/>
  <c r="C43" i="13"/>
  <c r="B43" i="13"/>
  <c r="C42" i="13"/>
  <c r="B42" i="13"/>
  <c r="C41" i="13"/>
  <c r="B41" i="13"/>
  <c r="C40" i="13"/>
  <c r="B40" i="13"/>
  <c r="C39" i="13"/>
  <c r="B39" i="13"/>
  <c r="C38" i="13"/>
  <c r="B38" i="13"/>
  <c r="C37" i="13"/>
  <c r="B37" i="13"/>
  <c r="C36" i="13"/>
  <c r="B36" i="13"/>
  <c r="C35" i="13"/>
  <c r="B35" i="13"/>
  <c r="C34" i="13"/>
  <c r="B34" i="13"/>
  <c r="C33" i="13"/>
  <c r="B33" i="13"/>
  <c r="C32" i="13"/>
  <c r="B32" i="13"/>
  <c r="C31" i="13"/>
  <c r="B31" i="13"/>
  <c r="C30" i="13"/>
  <c r="B30" i="13"/>
  <c r="C29" i="13"/>
  <c r="B29" i="13"/>
  <c r="C28" i="13"/>
  <c r="B28" i="13"/>
  <c r="C27" i="13"/>
  <c r="B27" i="13"/>
  <c r="C26" i="13"/>
  <c r="B26" i="13"/>
  <c r="C25" i="13"/>
  <c r="B25" i="13"/>
  <c r="C24" i="13"/>
  <c r="B24" i="13"/>
  <c r="C23" i="13"/>
  <c r="B23" i="13"/>
  <c r="C22" i="13"/>
  <c r="B22" i="13"/>
  <c r="C21" i="13"/>
  <c r="B21" i="13"/>
  <c r="C20" i="13"/>
  <c r="B20" i="13"/>
  <c r="C19" i="13"/>
  <c r="B19" i="13"/>
  <c r="C18" i="13"/>
  <c r="B18" i="13"/>
  <c r="C17" i="13"/>
  <c r="B17" i="13"/>
  <c r="C16" i="13"/>
  <c r="B16" i="13"/>
  <c r="C15" i="13"/>
  <c r="B15" i="13"/>
  <c r="C14" i="13"/>
  <c r="B14" i="13"/>
  <c r="C13" i="13"/>
  <c r="B13" i="13"/>
  <c r="C12" i="13"/>
  <c r="B12" i="13"/>
  <c r="C11" i="13"/>
  <c r="B11" i="13"/>
  <c r="C10" i="13"/>
  <c r="B10" i="13"/>
  <c r="C9" i="13"/>
  <c r="B9" i="13"/>
  <c r="C8" i="13"/>
  <c r="B8" i="13"/>
  <c r="C7" i="13"/>
  <c r="B7" i="13"/>
  <c r="C6" i="13"/>
  <c r="B6" i="13"/>
  <c r="E403" i="17"/>
  <c r="C401" i="17"/>
  <c r="B401" i="17"/>
  <c r="C400" i="17"/>
  <c r="B400" i="17"/>
  <c r="C399" i="17"/>
  <c r="B399" i="17"/>
  <c r="C398" i="17"/>
  <c r="B398" i="17"/>
  <c r="C397" i="17"/>
  <c r="B397" i="17"/>
  <c r="C396" i="17"/>
  <c r="B396" i="17"/>
  <c r="C395" i="17"/>
  <c r="B395" i="17"/>
  <c r="C394" i="17"/>
  <c r="B394" i="17"/>
  <c r="C393" i="17"/>
  <c r="B393" i="17"/>
  <c r="C392" i="17"/>
  <c r="B392" i="17"/>
  <c r="C391" i="17"/>
  <c r="B391" i="17"/>
  <c r="C390" i="17"/>
  <c r="B390" i="17"/>
  <c r="C389" i="17"/>
  <c r="B389" i="17"/>
  <c r="C388" i="17"/>
  <c r="B388" i="17"/>
  <c r="C387" i="17"/>
  <c r="B387" i="17"/>
  <c r="C386" i="17"/>
  <c r="B386" i="17"/>
  <c r="C385" i="17"/>
  <c r="B385" i="17"/>
  <c r="C384" i="17"/>
  <c r="B384" i="17"/>
  <c r="C383" i="17"/>
  <c r="B383" i="17"/>
  <c r="C382" i="17"/>
  <c r="B382" i="17"/>
  <c r="C381" i="17"/>
  <c r="B381" i="17"/>
  <c r="C380" i="17"/>
  <c r="B380" i="17"/>
  <c r="C379" i="17"/>
  <c r="B379" i="17"/>
  <c r="C378" i="17"/>
  <c r="B378" i="17"/>
  <c r="C377" i="17"/>
  <c r="B377" i="17"/>
  <c r="C376" i="17"/>
  <c r="B376" i="17"/>
  <c r="C375" i="17"/>
  <c r="B375" i="17"/>
  <c r="C374" i="17"/>
  <c r="B374" i="17"/>
  <c r="C373" i="17"/>
  <c r="B373" i="17"/>
  <c r="C372" i="17"/>
  <c r="B372" i="17"/>
  <c r="C371" i="17"/>
  <c r="B371" i="17"/>
  <c r="C370" i="17"/>
  <c r="B370" i="17"/>
  <c r="C369" i="17"/>
  <c r="B369" i="17"/>
  <c r="C368" i="17"/>
  <c r="B368" i="17"/>
  <c r="C367" i="17"/>
  <c r="B367" i="17"/>
  <c r="C366" i="17"/>
  <c r="B366" i="17"/>
  <c r="C365" i="17"/>
  <c r="B365" i="17"/>
  <c r="C364" i="17"/>
  <c r="B364" i="17"/>
  <c r="C363" i="17"/>
  <c r="B363" i="17"/>
  <c r="C362" i="17"/>
  <c r="B362" i="17"/>
  <c r="C361" i="17"/>
  <c r="B361" i="17"/>
  <c r="C360" i="17"/>
  <c r="B360" i="17"/>
  <c r="C359" i="17"/>
  <c r="B359" i="17"/>
  <c r="C358" i="17"/>
  <c r="B358" i="17"/>
  <c r="C357" i="17"/>
  <c r="B357" i="17"/>
  <c r="C356" i="17"/>
  <c r="B356" i="17"/>
  <c r="C355" i="17"/>
  <c r="B355" i="17"/>
  <c r="C354" i="17"/>
  <c r="B354" i="17"/>
  <c r="C353" i="17"/>
  <c r="B353" i="17"/>
  <c r="C352" i="17"/>
  <c r="B352" i="17"/>
  <c r="C351" i="17"/>
  <c r="B351" i="17"/>
  <c r="C350" i="17"/>
  <c r="B350" i="17"/>
  <c r="C349" i="17"/>
  <c r="B349" i="17"/>
  <c r="C348" i="17"/>
  <c r="B348" i="17"/>
  <c r="C347" i="17"/>
  <c r="B347" i="17"/>
  <c r="C346" i="17"/>
  <c r="B346" i="17"/>
  <c r="C345" i="17"/>
  <c r="B345" i="17"/>
  <c r="C344" i="17"/>
  <c r="B344" i="17"/>
  <c r="C343" i="17"/>
  <c r="B343" i="17"/>
  <c r="C342" i="17"/>
  <c r="B342" i="17"/>
  <c r="C341" i="17"/>
  <c r="B341" i="17"/>
  <c r="C340" i="17"/>
  <c r="B340" i="17"/>
  <c r="C339" i="17"/>
  <c r="B339" i="17"/>
  <c r="C338" i="17"/>
  <c r="B338" i="17"/>
  <c r="C337" i="17"/>
  <c r="B337" i="17"/>
  <c r="C336" i="17"/>
  <c r="B336" i="17"/>
  <c r="C335" i="17"/>
  <c r="B335" i="17"/>
  <c r="C334" i="17"/>
  <c r="B334" i="17"/>
  <c r="C333" i="17"/>
  <c r="B333" i="17"/>
  <c r="C332" i="17"/>
  <c r="B332" i="17"/>
  <c r="C331" i="17"/>
  <c r="B331" i="17"/>
  <c r="C330" i="17"/>
  <c r="B330" i="17"/>
  <c r="C329" i="17"/>
  <c r="B329" i="17"/>
  <c r="C328" i="17"/>
  <c r="B328" i="17"/>
  <c r="C327" i="17"/>
  <c r="B327" i="17"/>
  <c r="C326" i="17"/>
  <c r="B326" i="17"/>
  <c r="C325" i="17"/>
  <c r="B325" i="17"/>
  <c r="C324" i="17"/>
  <c r="B324" i="17"/>
  <c r="C323" i="17"/>
  <c r="B323" i="17"/>
  <c r="C322" i="17"/>
  <c r="B322" i="17"/>
  <c r="C321" i="17"/>
  <c r="B321" i="17"/>
  <c r="C320" i="17"/>
  <c r="B320" i="17"/>
  <c r="C319" i="17"/>
  <c r="B319" i="17"/>
  <c r="C318" i="17"/>
  <c r="B318" i="17"/>
  <c r="C317" i="17"/>
  <c r="B317" i="17"/>
  <c r="C316" i="17"/>
  <c r="B316" i="17"/>
  <c r="C315" i="17"/>
  <c r="B315" i="17"/>
  <c r="C314" i="17"/>
  <c r="B314" i="17"/>
  <c r="C313" i="17"/>
  <c r="B313" i="17"/>
  <c r="C312" i="17"/>
  <c r="B312" i="17"/>
  <c r="C311" i="17"/>
  <c r="B311" i="17"/>
  <c r="C310" i="17"/>
  <c r="B310" i="17"/>
  <c r="C309" i="17"/>
  <c r="B309" i="17"/>
  <c r="C308" i="17"/>
  <c r="B308" i="17"/>
  <c r="C307" i="17"/>
  <c r="B307" i="17"/>
  <c r="C306" i="17"/>
  <c r="B306" i="17"/>
  <c r="C305" i="17"/>
  <c r="B305" i="17"/>
  <c r="C304" i="17"/>
  <c r="B304" i="17"/>
  <c r="C303" i="17"/>
  <c r="B303" i="17"/>
  <c r="C302" i="17"/>
  <c r="B302" i="17"/>
  <c r="C301" i="17"/>
  <c r="B301" i="17"/>
  <c r="C300" i="17"/>
  <c r="B300" i="17"/>
  <c r="C299" i="17"/>
  <c r="B299" i="17"/>
  <c r="C298" i="17"/>
  <c r="B298" i="17"/>
  <c r="C297" i="17"/>
  <c r="B297" i="17"/>
  <c r="C296" i="17"/>
  <c r="B296" i="17"/>
  <c r="C295" i="17"/>
  <c r="B295" i="17"/>
  <c r="C294" i="17"/>
  <c r="B294" i="17"/>
  <c r="C293" i="17"/>
  <c r="B293" i="17"/>
  <c r="C292" i="17"/>
  <c r="B292" i="17"/>
  <c r="C291" i="17"/>
  <c r="B291" i="17"/>
  <c r="C290" i="17"/>
  <c r="B290" i="17"/>
  <c r="C289" i="17"/>
  <c r="B289" i="17"/>
  <c r="C288" i="17"/>
  <c r="B288" i="17"/>
  <c r="C287" i="17"/>
  <c r="B287" i="17"/>
  <c r="C286" i="17"/>
  <c r="B286" i="17"/>
  <c r="C285" i="17"/>
  <c r="B285" i="17"/>
  <c r="C284" i="17"/>
  <c r="B284" i="17"/>
  <c r="C283" i="17"/>
  <c r="B283" i="17"/>
  <c r="C282" i="17"/>
  <c r="B282" i="17"/>
  <c r="C281" i="17"/>
  <c r="B281" i="17"/>
  <c r="C280" i="17"/>
  <c r="B280" i="17"/>
  <c r="C279" i="17"/>
  <c r="B279" i="17"/>
  <c r="C278" i="17"/>
  <c r="B278" i="17"/>
  <c r="C277" i="17"/>
  <c r="B277" i="17"/>
  <c r="C276" i="17"/>
  <c r="B276" i="17"/>
  <c r="C275" i="17"/>
  <c r="B275" i="17"/>
  <c r="C274" i="17"/>
  <c r="B274" i="17"/>
  <c r="C273" i="17"/>
  <c r="B273" i="17"/>
  <c r="C272" i="17"/>
  <c r="B272" i="17"/>
  <c r="C271" i="17"/>
  <c r="B271" i="17"/>
  <c r="C270" i="17"/>
  <c r="B270" i="17"/>
  <c r="C269" i="17"/>
  <c r="B269" i="17"/>
  <c r="C268" i="17"/>
  <c r="B268" i="17"/>
  <c r="C267" i="17"/>
  <c r="B267" i="17"/>
  <c r="C266" i="17"/>
  <c r="B266" i="17"/>
  <c r="C265" i="17"/>
  <c r="B265" i="17"/>
  <c r="C264" i="17"/>
  <c r="B264" i="17"/>
  <c r="C263" i="17"/>
  <c r="B263" i="17"/>
  <c r="C262" i="17"/>
  <c r="B262" i="17"/>
  <c r="C261" i="17"/>
  <c r="B261" i="17"/>
  <c r="C260" i="17"/>
  <c r="B260" i="17"/>
  <c r="C259" i="17"/>
  <c r="B259" i="17"/>
  <c r="C258" i="17"/>
  <c r="B258" i="17"/>
  <c r="C257" i="17"/>
  <c r="B257" i="17"/>
  <c r="C256" i="17"/>
  <c r="B256" i="17"/>
  <c r="C255" i="17"/>
  <c r="B255" i="17"/>
  <c r="C254" i="17"/>
  <c r="B254" i="17"/>
  <c r="C253" i="17"/>
  <c r="B253" i="17"/>
  <c r="C252" i="17"/>
  <c r="B252" i="17"/>
  <c r="C251" i="17"/>
  <c r="B251" i="17"/>
  <c r="C250" i="17"/>
  <c r="B250" i="17"/>
  <c r="C249" i="17"/>
  <c r="B249" i="17"/>
  <c r="C248" i="17"/>
  <c r="B248" i="17"/>
  <c r="G116" i="13" l="1"/>
  <c r="I116" i="13"/>
  <c r="K116" i="13"/>
  <c r="H116" i="13"/>
  <c r="F116" i="13"/>
  <c r="J116" i="13"/>
  <c r="N116" i="13"/>
  <c r="M116" i="13"/>
  <c r="L116" i="13"/>
  <c r="I10" i="13"/>
  <c r="H10" i="13"/>
  <c r="N10" i="13"/>
  <c r="L10" i="13"/>
  <c r="J10" i="13"/>
  <c r="F10" i="13"/>
  <c r="K10" i="13"/>
  <c r="G10" i="13"/>
  <c r="M10" i="13"/>
  <c r="F17" i="13"/>
  <c r="G17" i="13"/>
  <c r="H17" i="13"/>
  <c r="J17" i="13"/>
  <c r="L17" i="13"/>
  <c r="I17" i="13"/>
  <c r="K17" i="13"/>
  <c r="N17" i="13"/>
  <c r="M17" i="13"/>
  <c r="M24" i="13"/>
  <c r="N24" i="13"/>
  <c r="F24" i="13"/>
  <c r="K24" i="13"/>
  <c r="L24" i="13"/>
  <c r="H24" i="13"/>
  <c r="G24" i="13"/>
  <c r="J24" i="13"/>
  <c r="I24" i="13"/>
  <c r="F31" i="13"/>
  <c r="H31" i="13"/>
  <c r="J31" i="13"/>
  <c r="L31" i="13"/>
  <c r="G31" i="13"/>
  <c r="I31" i="13"/>
  <c r="N31" i="13"/>
  <c r="M31" i="13"/>
  <c r="K31" i="13"/>
  <c r="N38" i="13"/>
  <c r="F38" i="13"/>
  <c r="H38" i="13"/>
  <c r="G38" i="13"/>
  <c r="L38" i="13"/>
  <c r="I38" i="13"/>
  <c r="M38" i="13"/>
  <c r="K38" i="13"/>
  <c r="J38" i="13"/>
  <c r="H45" i="13"/>
  <c r="J45" i="13"/>
  <c r="K45" i="13"/>
  <c r="L45" i="13"/>
  <c r="N45" i="13"/>
  <c r="G45" i="13"/>
  <c r="I45" i="13"/>
  <c r="M45" i="13"/>
  <c r="F45" i="13"/>
  <c r="J52" i="13"/>
  <c r="H52" i="13"/>
  <c r="F52" i="13"/>
  <c r="L52" i="13"/>
  <c r="G52" i="13"/>
  <c r="M52" i="13"/>
  <c r="I52" i="13"/>
  <c r="N52" i="13"/>
  <c r="K52" i="13"/>
  <c r="H59" i="13"/>
  <c r="J59" i="13"/>
  <c r="F59" i="13"/>
  <c r="K59" i="13"/>
  <c r="N59" i="13"/>
  <c r="L59" i="13"/>
  <c r="I59" i="13"/>
  <c r="G59" i="13"/>
  <c r="M59" i="13"/>
  <c r="L66" i="13"/>
  <c r="J66" i="13"/>
  <c r="F66" i="13"/>
  <c r="H66" i="13"/>
  <c r="M66" i="13"/>
  <c r="G66" i="13"/>
  <c r="K66" i="13"/>
  <c r="N66" i="13"/>
  <c r="I66" i="13"/>
  <c r="H73" i="13"/>
  <c r="J73" i="13"/>
  <c r="L73" i="13"/>
  <c r="M73" i="13"/>
  <c r="G73" i="13"/>
  <c r="N73" i="13"/>
  <c r="I73" i="13"/>
  <c r="K73" i="13"/>
  <c r="F73" i="13"/>
  <c r="I80" i="13"/>
  <c r="M80" i="13"/>
  <c r="L80" i="13"/>
  <c r="J80" i="13"/>
  <c r="N80" i="13"/>
  <c r="F80" i="13"/>
  <c r="H80" i="13"/>
  <c r="K80" i="13"/>
  <c r="G80" i="13"/>
  <c r="I87" i="13"/>
  <c r="F87" i="13"/>
  <c r="M87" i="13"/>
  <c r="K87" i="13"/>
  <c r="G87" i="13"/>
  <c r="H87" i="13"/>
  <c r="J87" i="13"/>
  <c r="L87" i="13"/>
  <c r="N87" i="13"/>
  <c r="K94" i="13"/>
  <c r="I94" i="13"/>
  <c r="H94" i="13"/>
  <c r="F94" i="13"/>
  <c r="N94" i="13"/>
  <c r="M94" i="13"/>
  <c r="G94" i="13"/>
  <c r="L94" i="13"/>
  <c r="J94" i="13"/>
  <c r="J101" i="13"/>
  <c r="L101" i="13"/>
  <c r="N101" i="13"/>
  <c r="F101" i="13"/>
  <c r="G101" i="13"/>
  <c r="I101" i="13"/>
  <c r="K101" i="13"/>
  <c r="H101" i="13"/>
  <c r="M101" i="13"/>
  <c r="M108" i="13"/>
  <c r="G108" i="13"/>
  <c r="J108" i="13"/>
  <c r="K108" i="13"/>
  <c r="L108" i="13"/>
  <c r="F108" i="13"/>
  <c r="I108" i="13"/>
  <c r="N108" i="13"/>
  <c r="H108" i="13"/>
  <c r="K115" i="13"/>
  <c r="F115" i="13"/>
  <c r="I115" i="13"/>
  <c r="H115" i="13"/>
  <c r="L115" i="13"/>
  <c r="J115" i="13"/>
  <c r="N115" i="13"/>
  <c r="M115" i="13"/>
  <c r="G115" i="13"/>
  <c r="G122" i="13"/>
  <c r="F122" i="13"/>
  <c r="L122" i="13"/>
  <c r="I122" i="13"/>
  <c r="N122" i="13"/>
  <c r="H122" i="13"/>
  <c r="M122" i="13"/>
  <c r="J122" i="13"/>
  <c r="K122" i="13"/>
  <c r="M129" i="13"/>
  <c r="F129" i="13"/>
  <c r="N129" i="13"/>
  <c r="K129" i="13"/>
  <c r="H129" i="13"/>
  <c r="L129" i="13"/>
  <c r="G129" i="13"/>
  <c r="I129" i="13"/>
  <c r="J129" i="13"/>
  <c r="M136" i="13"/>
  <c r="I136" i="13"/>
  <c r="K136" i="13"/>
  <c r="J136" i="13"/>
  <c r="H136" i="13"/>
  <c r="N136" i="13"/>
  <c r="L136" i="13"/>
  <c r="F136" i="13"/>
  <c r="G136" i="13"/>
  <c r="K143" i="13"/>
  <c r="H143" i="13"/>
  <c r="F143" i="13"/>
  <c r="N143" i="13"/>
  <c r="G143" i="13"/>
  <c r="J143" i="13"/>
  <c r="I143" i="13"/>
  <c r="L143" i="13"/>
  <c r="M143" i="13"/>
  <c r="J150" i="13"/>
  <c r="F150" i="13"/>
  <c r="I150" i="13"/>
  <c r="M150" i="13"/>
  <c r="K150" i="13"/>
  <c r="N150" i="13"/>
  <c r="H150" i="13"/>
  <c r="L150" i="13"/>
  <c r="G150" i="13"/>
  <c r="G157" i="13"/>
  <c r="I157" i="13"/>
  <c r="H157" i="13"/>
  <c r="M157" i="13"/>
  <c r="L157" i="13"/>
  <c r="F157" i="13"/>
  <c r="N157" i="13"/>
  <c r="J157" i="13"/>
  <c r="K157" i="13"/>
  <c r="M164" i="13"/>
  <c r="F164" i="13"/>
  <c r="J164" i="13"/>
  <c r="H164" i="13"/>
  <c r="K164" i="13"/>
  <c r="L164" i="13"/>
  <c r="I164" i="13"/>
  <c r="G164" i="13"/>
  <c r="N164" i="13"/>
  <c r="F171" i="13"/>
  <c r="H171" i="13"/>
  <c r="J171" i="13"/>
  <c r="L171" i="13"/>
  <c r="N171" i="13"/>
  <c r="G171" i="13"/>
  <c r="K171" i="13"/>
  <c r="I171" i="13"/>
  <c r="M171" i="13"/>
  <c r="K178" i="13"/>
  <c r="G178" i="13"/>
  <c r="N178" i="13"/>
  <c r="L178" i="13"/>
  <c r="M178" i="13"/>
  <c r="F178" i="13"/>
  <c r="I178" i="13"/>
  <c r="H178" i="13"/>
  <c r="J178" i="13"/>
  <c r="J185" i="13"/>
  <c r="G185" i="13"/>
  <c r="I185" i="13"/>
  <c r="M185" i="13"/>
  <c r="F185" i="13"/>
  <c r="K185" i="13"/>
  <c r="H185" i="13"/>
  <c r="N185" i="13"/>
  <c r="L185" i="13"/>
  <c r="H192" i="13"/>
  <c r="F192" i="13"/>
  <c r="J192" i="13"/>
  <c r="I192" i="13"/>
  <c r="L192" i="13"/>
  <c r="G192" i="13"/>
  <c r="K192" i="13"/>
  <c r="M192" i="13"/>
  <c r="N192" i="13"/>
  <c r="G199" i="13"/>
  <c r="M199" i="13"/>
  <c r="H199" i="13"/>
  <c r="F199" i="13"/>
  <c r="I199" i="13"/>
  <c r="K199" i="13"/>
  <c r="N199" i="13"/>
  <c r="L199" i="13"/>
  <c r="J199" i="13"/>
  <c r="J206" i="13"/>
  <c r="M206" i="13"/>
  <c r="K206" i="13"/>
  <c r="H206" i="13"/>
  <c r="N206" i="13"/>
  <c r="G206" i="13"/>
  <c r="L206" i="13"/>
  <c r="F206" i="13"/>
  <c r="I206" i="13"/>
  <c r="M213" i="13"/>
  <c r="H213" i="13"/>
  <c r="L213" i="13"/>
  <c r="J213" i="13"/>
  <c r="G213" i="13"/>
  <c r="N213" i="13"/>
  <c r="K213" i="13"/>
  <c r="I213" i="13"/>
  <c r="F213" i="13"/>
  <c r="K220" i="13"/>
  <c r="F220" i="13"/>
  <c r="G220" i="13"/>
  <c r="H220" i="13"/>
  <c r="J220" i="13"/>
  <c r="M220" i="13"/>
  <c r="I220" i="13"/>
  <c r="L220" i="13"/>
  <c r="N220" i="13"/>
  <c r="I227" i="13"/>
  <c r="M227" i="13"/>
  <c r="F227" i="13"/>
  <c r="J227" i="13"/>
  <c r="N227" i="13"/>
  <c r="K227" i="13"/>
  <c r="H227" i="13"/>
  <c r="L227" i="13"/>
  <c r="G227" i="13"/>
  <c r="M234" i="13"/>
  <c r="G234" i="13"/>
  <c r="J234" i="13"/>
  <c r="N234" i="13"/>
  <c r="L234" i="13"/>
  <c r="K234" i="13"/>
  <c r="I234" i="13"/>
  <c r="F234" i="13"/>
  <c r="H234" i="13"/>
  <c r="G241" i="13"/>
  <c r="K241" i="13"/>
  <c r="N241" i="13"/>
  <c r="I241" i="13"/>
  <c r="J241" i="13"/>
  <c r="L241" i="13"/>
  <c r="M241" i="13"/>
  <c r="F241" i="13"/>
  <c r="H241" i="13"/>
  <c r="N248" i="13"/>
  <c r="H248" i="13"/>
  <c r="G248" i="13"/>
  <c r="J248" i="13"/>
  <c r="M248" i="13"/>
  <c r="I248" i="13"/>
  <c r="K248" i="13"/>
  <c r="F248" i="13"/>
  <c r="L248" i="13"/>
  <c r="I255" i="13"/>
  <c r="F255" i="13"/>
  <c r="L255" i="13"/>
  <c r="H255" i="13"/>
  <c r="N255" i="13"/>
  <c r="J255" i="13"/>
  <c r="M255" i="13"/>
  <c r="K255" i="13"/>
  <c r="G255" i="13"/>
  <c r="M262" i="13"/>
  <c r="K262" i="13"/>
  <c r="J262" i="13"/>
  <c r="H262" i="13"/>
  <c r="I262" i="13"/>
  <c r="L262" i="13"/>
  <c r="F262" i="13"/>
  <c r="G262" i="13"/>
  <c r="N262" i="13"/>
  <c r="G269" i="13"/>
  <c r="F269" i="13"/>
  <c r="I269" i="13"/>
  <c r="H269" i="13"/>
  <c r="L269" i="13"/>
  <c r="J269" i="13"/>
  <c r="M269" i="13"/>
  <c r="K269" i="13"/>
  <c r="N269" i="13"/>
  <c r="I276" i="13"/>
  <c r="J276" i="13"/>
  <c r="F276" i="13"/>
  <c r="M276" i="13"/>
  <c r="H276" i="13"/>
  <c r="K276" i="13"/>
  <c r="L276" i="13"/>
  <c r="G276" i="13"/>
  <c r="N276" i="13"/>
  <c r="N283" i="13"/>
  <c r="J283" i="13"/>
  <c r="K283" i="13"/>
  <c r="H283" i="13"/>
  <c r="I283" i="13"/>
  <c r="L283" i="13"/>
  <c r="F283" i="13"/>
  <c r="G283" i="13"/>
  <c r="M283" i="13"/>
  <c r="F290" i="13"/>
  <c r="M290" i="13"/>
  <c r="N290" i="13"/>
  <c r="I290" i="13"/>
  <c r="K290" i="13"/>
  <c r="J290" i="13"/>
  <c r="L290" i="13"/>
  <c r="G290" i="13"/>
  <c r="H290" i="13"/>
  <c r="K297" i="13"/>
  <c r="I297" i="13"/>
  <c r="L297" i="13"/>
  <c r="G297" i="13"/>
  <c r="M297" i="13"/>
  <c r="N297" i="13"/>
  <c r="J297" i="13"/>
  <c r="H297" i="13"/>
  <c r="F297" i="13"/>
  <c r="J304" i="13"/>
  <c r="L304" i="13"/>
  <c r="G304" i="13"/>
  <c r="H304" i="13"/>
  <c r="K304" i="13"/>
  <c r="N304" i="13"/>
  <c r="F304" i="13"/>
  <c r="I304" i="13"/>
  <c r="M304" i="13"/>
  <c r="I311" i="13"/>
  <c r="N311" i="13"/>
  <c r="F311" i="13"/>
  <c r="G311" i="13"/>
  <c r="L311" i="13"/>
  <c r="H311" i="13"/>
  <c r="J311" i="13"/>
  <c r="M311" i="13"/>
  <c r="K311" i="13"/>
  <c r="H318" i="13"/>
  <c r="N318" i="13"/>
  <c r="M318" i="13"/>
  <c r="K318" i="13"/>
  <c r="G318" i="13"/>
  <c r="I318" i="13"/>
  <c r="L318" i="13"/>
  <c r="J318" i="13"/>
  <c r="F318" i="13"/>
  <c r="N325" i="13"/>
  <c r="F325" i="13"/>
  <c r="G325" i="13"/>
  <c r="H325" i="13"/>
  <c r="L325" i="13"/>
  <c r="I325" i="13"/>
  <c r="K325" i="13"/>
  <c r="M325" i="13"/>
  <c r="J325" i="13"/>
  <c r="J332" i="13"/>
  <c r="F332" i="13"/>
  <c r="G332" i="13"/>
  <c r="N332" i="13"/>
  <c r="L332" i="13"/>
  <c r="K332" i="13"/>
  <c r="M332" i="13"/>
  <c r="I332" i="13"/>
  <c r="H332" i="13"/>
  <c r="L339" i="13"/>
  <c r="I339" i="13"/>
  <c r="H339" i="13"/>
  <c r="G339" i="13"/>
  <c r="J339" i="13"/>
  <c r="N339" i="13"/>
  <c r="K339" i="13"/>
  <c r="F339" i="13"/>
  <c r="M339" i="13"/>
  <c r="I346" i="13"/>
  <c r="K346" i="13"/>
  <c r="N346" i="13"/>
  <c r="F346" i="13"/>
  <c r="H346" i="13"/>
  <c r="J346" i="13"/>
  <c r="M346" i="13"/>
  <c r="L346" i="13"/>
  <c r="G346" i="13"/>
  <c r="L353" i="13"/>
  <c r="N353" i="13"/>
  <c r="M353" i="13"/>
  <c r="J353" i="13"/>
  <c r="H353" i="13"/>
  <c r="K353" i="13"/>
  <c r="F353" i="13"/>
  <c r="G353" i="13"/>
  <c r="I353" i="13"/>
  <c r="K360" i="13"/>
  <c r="L360" i="13"/>
  <c r="M360" i="13"/>
  <c r="F360" i="13"/>
  <c r="H360" i="13"/>
  <c r="J360" i="13"/>
  <c r="N360" i="13"/>
  <c r="G360" i="13"/>
  <c r="I360" i="13"/>
  <c r="G367" i="13"/>
  <c r="N367" i="13"/>
  <c r="I367" i="13"/>
  <c r="J367" i="13"/>
  <c r="F367" i="13"/>
  <c r="L367" i="13"/>
  <c r="K367" i="13"/>
  <c r="H367" i="13"/>
  <c r="M367" i="13"/>
  <c r="K374" i="13"/>
  <c r="G374" i="13"/>
  <c r="F374" i="13"/>
  <c r="H374" i="13"/>
  <c r="J374" i="13"/>
  <c r="M374" i="13"/>
  <c r="L374" i="13"/>
  <c r="I374" i="13"/>
  <c r="N374" i="13"/>
  <c r="I381" i="13"/>
  <c r="H381" i="13"/>
  <c r="M381" i="13"/>
  <c r="G381" i="13"/>
  <c r="F381" i="13"/>
  <c r="K381" i="13"/>
  <c r="N381" i="13"/>
  <c r="J381" i="13"/>
  <c r="L381" i="13"/>
  <c r="G388" i="13"/>
  <c r="M388" i="13"/>
  <c r="I388" i="13"/>
  <c r="L388" i="13"/>
  <c r="J388" i="13"/>
  <c r="K388" i="13"/>
  <c r="F388" i="13"/>
  <c r="N388" i="13"/>
  <c r="H388" i="13"/>
  <c r="N395" i="13"/>
  <c r="G395" i="13"/>
  <c r="L395" i="13"/>
  <c r="J395" i="13"/>
  <c r="K395" i="13"/>
  <c r="H395" i="13"/>
  <c r="I395" i="13"/>
  <c r="M395" i="13"/>
  <c r="F395" i="13"/>
  <c r="H18" i="13"/>
  <c r="N18" i="13"/>
  <c r="J18" i="13"/>
  <c r="M18" i="13"/>
  <c r="K18" i="13"/>
  <c r="F18" i="13"/>
  <c r="G18" i="13"/>
  <c r="I18" i="13"/>
  <c r="L18" i="13"/>
  <c r="M81" i="13"/>
  <c r="F81" i="13"/>
  <c r="I81" i="13"/>
  <c r="H81" i="13"/>
  <c r="J81" i="13"/>
  <c r="K81" i="13"/>
  <c r="N81" i="13"/>
  <c r="G81" i="13"/>
  <c r="L81" i="13"/>
  <c r="M144" i="13"/>
  <c r="I144" i="13"/>
  <c r="J144" i="13"/>
  <c r="K144" i="13"/>
  <c r="L144" i="13"/>
  <c r="F144" i="13"/>
  <c r="G144" i="13"/>
  <c r="N144" i="13"/>
  <c r="H144" i="13"/>
  <c r="H179" i="13"/>
  <c r="L179" i="13"/>
  <c r="I179" i="13"/>
  <c r="K179" i="13"/>
  <c r="J179" i="13"/>
  <c r="G179" i="13"/>
  <c r="M179" i="13"/>
  <c r="N179" i="13"/>
  <c r="F179" i="13"/>
  <c r="J207" i="13"/>
  <c r="H207" i="13"/>
  <c r="M207" i="13"/>
  <c r="K207" i="13"/>
  <c r="I207" i="13"/>
  <c r="F207" i="13"/>
  <c r="L207" i="13"/>
  <c r="G207" i="13"/>
  <c r="N207" i="13"/>
  <c r="F249" i="13"/>
  <c r="M249" i="13"/>
  <c r="H249" i="13"/>
  <c r="I249" i="13"/>
  <c r="K249" i="13"/>
  <c r="N249" i="13"/>
  <c r="J249" i="13"/>
  <c r="L249" i="13"/>
  <c r="G249" i="13"/>
  <c r="G284" i="13"/>
  <c r="J284" i="13"/>
  <c r="F284" i="13"/>
  <c r="M284" i="13"/>
  <c r="H284" i="13"/>
  <c r="K284" i="13"/>
  <c r="N284" i="13"/>
  <c r="I284" i="13"/>
  <c r="L284" i="13"/>
  <c r="F312" i="13"/>
  <c r="H312" i="13"/>
  <c r="N312" i="13"/>
  <c r="J312" i="13"/>
  <c r="I312" i="13"/>
  <c r="G312" i="13"/>
  <c r="K312" i="13"/>
  <c r="L312" i="13"/>
  <c r="M312" i="13"/>
  <c r="L368" i="13"/>
  <c r="M368" i="13"/>
  <c r="J368" i="13"/>
  <c r="F368" i="13"/>
  <c r="I368" i="13"/>
  <c r="K368" i="13"/>
  <c r="G368" i="13"/>
  <c r="H368" i="13"/>
  <c r="N368" i="13"/>
  <c r="F12" i="13"/>
  <c r="K12" i="13"/>
  <c r="M12" i="13"/>
  <c r="I12" i="13"/>
  <c r="J12" i="13"/>
  <c r="G12" i="13"/>
  <c r="H12" i="13"/>
  <c r="L12" i="13"/>
  <c r="N12" i="13"/>
  <c r="G19" i="13"/>
  <c r="I19" i="13"/>
  <c r="F19" i="13"/>
  <c r="N19" i="13"/>
  <c r="J19" i="13"/>
  <c r="K19" i="13"/>
  <c r="H19" i="13"/>
  <c r="L19" i="13"/>
  <c r="M19" i="13"/>
  <c r="G26" i="13"/>
  <c r="H26" i="13"/>
  <c r="L26" i="13"/>
  <c r="N26" i="13"/>
  <c r="I26" i="13"/>
  <c r="K26" i="13"/>
  <c r="M26" i="13"/>
  <c r="J26" i="13"/>
  <c r="F26" i="13"/>
  <c r="K33" i="13"/>
  <c r="N33" i="13"/>
  <c r="F33" i="13"/>
  <c r="J33" i="13"/>
  <c r="H33" i="13"/>
  <c r="L33" i="13"/>
  <c r="I33" i="13"/>
  <c r="M33" i="13"/>
  <c r="G33" i="13"/>
  <c r="J40" i="13"/>
  <c r="L40" i="13"/>
  <c r="N40" i="13"/>
  <c r="G40" i="13"/>
  <c r="H40" i="13"/>
  <c r="K40" i="13"/>
  <c r="M40" i="13"/>
  <c r="F40" i="13"/>
  <c r="I40" i="13"/>
  <c r="F47" i="13"/>
  <c r="M47" i="13"/>
  <c r="L47" i="13"/>
  <c r="G47" i="13"/>
  <c r="K47" i="13"/>
  <c r="H47" i="13"/>
  <c r="I47" i="13"/>
  <c r="N47" i="13"/>
  <c r="J47" i="13"/>
  <c r="K54" i="13"/>
  <c r="I54" i="13"/>
  <c r="J54" i="13"/>
  <c r="G54" i="13"/>
  <c r="L54" i="13"/>
  <c r="M54" i="13"/>
  <c r="H54" i="13"/>
  <c r="N54" i="13"/>
  <c r="F54" i="13"/>
  <c r="N61" i="13"/>
  <c r="H61" i="13"/>
  <c r="G61" i="13"/>
  <c r="I61" i="13"/>
  <c r="M61" i="13"/>
  <c r="K61" i="13"/>
  <c r="F61" i="13"/>
  <c r="L61" i="13"/>
  <c r="J61" i="13"/>
  <c r="L68" i="13"/>
  <c r="N68" i="13"/>
  <c r="F68" i="13"/>
  <c r="H68" i="13"/>
  <c r="I68" i="13"/>
  <c r="G68" i="13"/>
  <c r="M68" i="13"/>
  <c r="K68" i="13"/>
  <c r="J68" i="13"/>
  <c r="L75" i="13"/>
  <c r="F75" i="13"/>
  <c r="H75" i="13"/>
  <c r="N75" i="13"/>
  <c r="J75" i="13"/>
  <c r="I75" i="13"/>
  <c r="M75" i="13"/>
  <c r="G75" i="13"/>
  <c r="K75" i="13"/>
  <c r="N82" i="13"/>
  <c r="K82" i="13"/>
  <c r="F82" i="13"/>
  <c r="M82" i="13"/>
  <c r="G82" i="13"/>
  <c r="I82" i="13"/>
  <c r="H82" i="13"/>
  <c r="L82" i="13"/>
  <c r="J82" i="13"/>
  <c r="I89" i="13"/>
  <c r="N89" i="13"/>
  <c r="G89" i="13"/>
  <c r="J89" i="13"/>
  <c r="K89" i="13"/>
  <c r="H89" i="13"/>
  <c r="L89" i="13"/>
  <c r="F89" i="13"/>
  <c r="M89" i="13"/>
  <c r="H96" i="13"/>
  <c r="L96" i="13"/>
  <c r="J96" i="13"/>
  <c r="N96" i="13"/>
  <c r="I96" i="13"/>
  <c r="K96" i="13"/>
  <c r="F96" i="13"/>
  <c r="G96" i="13"/>
  <c r="M96" i="13"/>
  <c r="K103" i="13"/>
  <c r="I103" i="13"/>
  <c r="L103" i="13"/>
  <c r="J103" i="13"/>
  <c r="F103" i="13"/>
  <c r="N103" i="13"/>
  <c r="H103" i="13"/>
  <c r="G103" i="13"/>
  <c r="M103" i="13"/>
  <c r="I110" i="13"/>
  <c r="L110" i="13"/>
  <c r="N110" i="13"/>
  <c r="G110" i="13"/>
  <c r="J110" i="13"/>
  <c r="K110" i="13"/>
  <c r="M110" i="13"/>
  <c r="H110" i="13"/>
  <c r="F110" i="13"/>
  <c r="N117" i="13"/>
  <c r="I117" i="13"/>
  <c r="H117" i="13"/>
  <c r="G117" i="13"/>
  <c r="K117" i="13"/>
  <c r="J117" i="13"/>
  <c r="L117" i="13"/>
  <c r="M117" i="13"/>
  <c r="F117" i="13"/>
  <c r="M124" i="13"/>
  <c r="F124" i="13"/>
  <c r="L124" i="13"/>
  <c r="I124" i="13"/>
  <c r="J124" i="13"/>
  <c r="K124" i="13"/>
  <c r="N124" i="13"/>
  <c r="G124" i="13"/>
  <c r="H124" i="13"/>
  <c r="F131" i="13"/>
  <c r="H131" i="13"/>
  <c r="J131" i="13"/>
  <c r="M131" i="13"/>
  <c r="G131" i="13"/>
  <c r="K131" i="13"/>
  <c r="N131" i="13"/>
  <c r="I131" i="13"/>
  <c r="L131" i="13"/>
  <c r="K138" i="13"/>
  <c r="H138" i="13"/>
  <c r="J138" i="13"/>
  <c r="I138" i="13"/>
  <c r="F138" i="13"/>
  <c r="N138" i="13"/>
  <c r="G138" i="13"/>
  <c r="L138" i="13"/>
  <c r="M138" i="13"/>
  <c r="G145" i="13"/>
  <c r="N145" i="13"/>
  <c r="I145" i="13"/>
  <c r="H145" i="13"/>
  <c r="F145" i="13"/>
  <c r="L145" i="13"/>
  <c r="J145" i="13"/>
  <c r="K145" i="13"/>
  <c r="M145" i="13"/>
  <c r="G152" i="13"/>
  <c r="N152" i="13"/>
  <c r="H152" i="13"/>
  <c r="J152" i="13"/>
  <c r="F152" i="13"/>
  <c r="L152" i="13"/>
  <c r="I152" i="13"/>
  <c r="M152" i="13"/>
  <c r="K152" i="13"/>
  <c r="M159" i="13"/>
  <c r="N159" i="13"/>
  <c r="H159" i="13"/>
  <c r="G159" i="13"/>
  <c r="F159" i="13"/>
  <c r="K159" i="13"/>
  <c r="I159" i="13"/>
  <c r="L159" i="13"/>
  <c r="J159" i="13"/>
  <c r="F166" i="13"/>
  <c r="G166" i="13"/>
  <c r="H166" i="13"/>
  <c r="M166" i="13"/>
  <c r="K166" i="13"/>
  <c r="I166" i="13"/>
  <c r="J166" i="13"/>
  <c r="L166" i="13"/>
  <c r="N166" i="13"/>
  <c r="M173" i="13"/>
  <c r="G173" i="13"/>
  <c r="I173" i="13"/>
  <c r="L173" i="13"/>
  <c r="J173" i="13"/>
  <c r="N173" i="13"/>
  <c r="F173" i="13"/>
  <c r="K173" i="13"/>
  <c r="H173" i="13"/>
  <c r="M180" i="13"/>
  <c r="J180" i="13"/>
  <c r="L180" i="13"/>
  <c r="G180" i="13"/>
  <c r="H180" i="13"/>
  <c r="I180" i="13"/>
  <c r="F180" i="13"/>
  <c r="N180" i="13"/>
  <c r="K180" i="13"/>
  <c r="H187" i="13"/>
  <c r="J187" i="13"/>
  <c r="G187" i="13"/>
  <c r="I187" i="13"/>
  <c r="K187" i="13"/>
  <c r="L187" i="13"/>
  <c r="M187" i="13"/>
  <c r="N187" i="13"/>
  <c r="F187" i="13"/>
  <c r="G194" i="13"/>
  <c r="I194" i="13"/>
  <c r="L194" i="13"/>
  <c r="J194" i="13"/>
  <c r="K194" i="13"/>
  <c r="N194" i="13"/>
  <c r="F194" i="13"/>
  <c r="M194" i="13"/>
  <c r="H194" i="13"/>
  <c r="I201" i="13"/>
  <c r="K201" i="13"/>
  <c r="G201" i="13"/>
  <c r="J201" i="13"/>
  <c r="N201" i="13"/>
  <c r="H201" i="13"/>
  <c r="L201" i="13"/>
  <c r="F201" i="13"/>
  <c r="M201" i="13"/>
  <c r="H208" i="13"/>
  <c r="F208" i="13"/>
  <c r="J208" i="13"/>
  <c r="G208" i="13"/>
  <c r="N208" i="13"/>
  <c r="I208" i="13"/>
  <c r="K208" i="13"/>
  <c r="L208" i="13"/>
  <c r="M208" i="13"/>
  <c r="G215" i="13"/>
  <c r="K215" i="13"/>
  <c r="N215" i="13"/>
  <c r="H215" i="13"/>
  <c r="F215" i="13"/>
  <c r="L215" i="13"/>
  <c r="I215" i="13"/>
  <c r="M215" i="13"/>
  <c r="J215" i="13"/>
  <c r="K222" i="13"/>
  <c r="N222" i="13"/>
  <c r="H222" i="13"/>
  <c r="G222" i="13"/>
  <c r="L222" i="13"/>
  <c r="I222" i="13"/>
  <c r="J222" i="13"/>
  <c r="M222" i="13"/>
  <c r="F222" i="13"/>
  <c r="M229" i="13"/>
  <c r="L229" i="13"/>
  <c r="H229" i="13"/>
  <c r="F229" i="13"/>
  <c r="K229" i="13"/>
  <c r="J229" i="13"/>
  <c r="N229" i="13"/>
  <c r="I229" i="13"/>
  <c r="G229" i="13"/>
  <c r="H236" i="13"/>
  <c r="L236" i="13"/>
  <c r="I236" i="13"/>
  <c r="M236" i="13"/>
  <c r="F236" i="13"/>
  <c r="K236" i="13"/>
  <c r="G236" i="13"/>
  <c r="N236" i="13"/>
  <c r="J236" i="13"/>
  <c r="M243" i="13"/>
  <c r="F243" i="13"/>
  <c r="J243" i="13"/>
  <c r="G243" i="13"/>
  <c r="I243" i="13"/>
  <c r="K243" i="13"/>
  <c r="H243" i="13"/>
  <c r="L243" i="13"/>
  <c r="N243" i="13"/>
  <c r="J250" i="13"/>
  <c r="H250" i="13"/>
  <c r="K250" i="13"/>
  <c r="F250" i="13"/>
  <c r="L250" i="13"/>
  <c r="I250" i="13"/>
  <c r="G250" i="13"/>
  <c r="M250" i="13"/>
  <c r="N250" i="13"/>
  <c r="K257" i="13"/>
  <c r="N257" i="13"/>
  <c r="G257" i="13"/>
  <c r="I257" i="13"/>
  <c r="F257" i="13"/>
  <c r="L257" i="13"/>
  <c r="J257" i="13"/>
  <c r="M257" i="13"/>
  <c r="H257" i="13"/>
  <c r="K264" i="13"/>
  <c r="M264" i="13"/>
  <c r="G264" i="13"/>
  <c r="J264" i="13"/>
  <c r="N264" i="13"/>
  <c r="F264" i="13"/>
  <c r="I264" i="13"/>
  <c r="L264" i="13"/>
  <c r="H264" i="13"/>
  <c r="G271" i="13"/>
  <c r="F271" i="13"/>
  <c r="N271" i="13"/>
  <c r="K271" i="13"/>
  <c r="I271" i="13"/>
  <c r="H271" i="13"/>
  <c r="J271" i="13"/>
  <c r="M271" i="13"/>
  <c r="L271" i="13"/>
  <c r="F278" i="13"/>
  <c r="G278" i="13"/>
  <c r="J278" i="13"/>
  <c r="H278" i="13"/>
  <c r="M278" i="13"/>
  <c r="K278" i="13"/>
  <c r="N278" i="13"/>
  <c r="I278" i="13"/>
  <c r="L278" i="13"/>
  <c r="M285" i="13"/>
  <c r="N285" i="13"/>
  <c r="H285" i="13"/>
  <c r="I285" i="13"/>
  <c r="L285" i="13"/>
  <c r="F285" i="13"/>
  <c r="G285" i="13"/>
  <c r="J285" i="13"/>
  <c r="K285" i="13"/>
  <c r="N292" i="13"/>
  <c r="L292" i="13"/>
  <c r="I292" i="13"/>
  <c r="H292" i="13"/>
  <c r="G292" i="13"/>
  <c r="F292" i="13"/>
  <c r="M292" i="13"/>
  <c r="K292" i="13"/>
  <c r="J292" i="13"/>
  <c r="G299" i="13"/>
  <c r="J299" i="13"/>
  <c r="N299" i="13"/>
  <c r="H299" i="13"/>
  <c r="K299" i="13"/>
  <c r="L299" i="13"/>
  <c r="F299" i="13"/>
  <c r="I299" i="13"/>
  <c r="M299" i="13"/>
  <c r="F306" i="13"/>
  <c r="J306" i="13"/>
  <c r="H306" i="13"/>
  <c r="M306" i="13"/>
  <c r="K306" i="13"/>
  <c r="I306" i="13"/>
  <c r="G306" i="13"/>
  <c r="L306" i="13"/>
  <c r="N306" i="13"/>
  <c r="G313" i="13"/>
  <c r="N313" i="13"/>
  <c r="L313" i="13"/>
  <c r="M313" i="13"/>
  <c r="F313" i="13"/>
  <c r="H313" i="13"/>
  <c r="J313" i="13"/>
  <c r="I313" i="13"/>
  <c r="K313" i="13"/>
  <c r="F320" i="13"/>
  <c r="H320" i="13"/>
  <c r="M320" i="13"/>
  <c r="I320" i="13"/>
  <c r="N320" i="13"/>
  <c r="J320" i="13"/>
  <c r="G320" i="13"/>
  <c r="K320" i="13"/>
  <c r="L320" i="13"/>
  <c r="K327" i="13"/>
  <c r="F327" i="13"/>
  <c r="M327" i="13"/>
  <c r="L327" i="13"/>
  <c r="I327" i="13"/>
  <c r="G327" i="13"/>
  <c r="N327" i="13"/>
  <c r="J327" i="13"/>
  <c r="H327" i="13"/>
  <c r="J334" i="13"/>
  <c r="H334" i="13"/>
  <c r="G334" i="13"/>
  <c r="L334" i="13"/>
  <c r="F334" i="13"/>
  <c r="M334" i="13"/>
  <c r="N334" i="13"/>
  <c r="I334" i="13"/>
  <c r="K334" i="13"/>
  <c r="L341" i="13"/>
  <c r="K341" i="13"/>
  <c r="F341" i="13"/>
  <c r="H341" i="13"/>
  <c r="I341" i="13"/>
  <c r="J341" i="13"/>
  <c r="N341" i="13"/>
  <c r="G341" i="13"/>
  <c r="M341" i="13"/>
  <c r="G348" i="13"/>
  <c r="L348" i="13"/>
  <c r="J348" i="13"/>
  <c r="F348" i="13"/>
  <c r="I348" i="13"/>
  <c r="N348" i="13"/>
  <c r="K348" i="13"/>
  <c r="H348" i="13"/>
  <c r="M348" i="13"/>
  <c r="I355" i="13"/>
  <c r="K355" i="13"/>
  <c r="G355" i="13"/>
  <c r="M355" i="13"/>
  <c r="H355" i="13"/>
  <c r="J355" i="13"/>
  <c r="F355" i="13"/>
  <c r="L355" i="13"/>
  <c r="N355" i="13"/>
  <c r="G362" i="13"/>
  <c r="N362" i="13"/>
  <c r="J362" i="13"/>
  <c r="K362" i="13"/>
  <c r="F362" i="13"/>
  <c r="H362" i="13"/>
  <c r="L362" i="13"/>
  <c r="I362" i="13"/>
  <c r="M362" i="13"/>
  <c r="G369" i="13"/>
  <c r="J369" i="13"/>
  <c r="F369" i="13"/>
  <c r="K369" i="13"/>
  <c r="I369" i="13"/>
  <c r="M369" i="13"/>
  <c r="H369" i="13"/>
  <c r="L369" i="13"/>
  <c r="N369" i="13"/>
  <c r="J376" i="13"/>
  <c r="G376" i="13"/>
  <c r="F376" i="13"/>
  <c r="K376" i="13"/>
  <c r="N376" i="13"/>
  <c r="I376" i="13"/>
  <c r="L376" i="13"/>
  <c r="H376" i="13"/>
  <c r="M376" i="13"/>
  <c r="G383" i="13"/>
  <c r="J383" i="13"/>
  <c r="N383" i="13"/>
  <c r="L383" i="13"/>
  <c r="I383" i="13"/>
  <c r="K383" i="13"/>
  <c r="H383" i="13"/>
  <c r="M383" i="13"/>
  <c r="F383" i="13"/>
  <c r="H390" i="13"/>
  <c r="G390" i="13"/>
  <c r="M390" i="13"/>
  <c r="K390" i="13"/>
  <c r="J390" i="13"/>
  <c r="L390" i="13"/>
  <c r="I390" i="13"/>
  <c r="N390" i="13"/>
  <c r="F390" i="13"/>
  <c r="G397" i="13"/>
  <c r="F397" i="13"/>
  <c r="H397" i="13"/>
  <c r="J397" i="13"/>
  <c r="L397" i="13"/>
  <c r="N397" i="13"/>
  <c r="K397" i="13"/>
  <c r="I397" i="13"/>
  <c r="M397" i="13"/>
  <c r="G25" i="13"/>
  <c r="N25" i="13"/>
  <c r="I25" i="13"/>
  <c r="K25" i="13"/>
  <c r="J25" i="13"/>
  <c r="L25" i="13"/>
  <c r="F25" i="13"/>
  <c r="H25" i="13"/>
  <c r="M25" i="13"/>
  <c r="K88" i="13"/>
  <c r="N88" i="13"/>
  <c r="H88" i="13"/>
  <c r="I88" i="13"/>
  <c r="F88" i="13"/>
  <c r="L88" i="13"/>
  <c r="M88" i="13"/>
  <c r="J88" i="13"/>
  <c r="G88" i="13"/>
  <c r="L137" i="13"/>
  <c r="I137" i="13"/>
  <c r="H137" i="13"/>
  <c r="K137" i="13"/>
  <c r="F137" i="13"/>
  <c r="N137" i="13"/>
  <c r="G137" i="13"/>
  <c r="J137" i="13"/>
  <c r="M137" i="13"/>
  <c r="L186" i="13"/>
  <c r="G186" i="13"/>
  <c r="M186" i="13"/>
  <c r="H186" i="13"/>
  <c r="F186" i="13"/>
  <c r="J186" i="13"/>
  <c r="N186" i="13"/>
  <c r="I186" i="13"/>
  <c r="K186" i="13"/>
  <c r="L221" i="13"/>
  <c r="H221" i="13"/>
  <c r="J221" i="13"/>
  <c r="F221" i="13"/>
  <c r="M221" i="13"/>
  <c r="N221" i="13"/>
  <c r="K221" i="13"/>
  <c r="I221" i="13"/>
  <c r="G221" i="13"/>
  <c r="J256" i="13"/>
  <c r="G256" i="13"/>
  <c r="F256" i="13"/>
  <c r="I256" i="13"/>
  <c r="M256" i="13"/>
  <c r="L256" i="13"/>
  <c r="H256" i="13"/>
  <c r="K256" i="13"/>
  <c r="N256" i="13"/>
  <c r="I291" i="13"/>
  <c r="L291" i="13"/>
  <c r="G291" i="13"/>
  <c r="M291" i="13"/>
  <c r="N291" i="13"/>
  <c r="H291" i="13"/>
  <c r="K291" i="13"/>
  <c r="F291" i="13"/>
  <c r="J291" i="13"/>
  <c r="J319" i="13"/>
  <c r="L319" i="13"/>
  <c r="H319" i="13"/>
  <c r="N319" i="13"/>
  <c r="I319" i="13"/>
  <c r="K319" i="13"/>
  <c r="F319" i="13"/>
  <c r="M319" i="13"/>
  <c r="G319" i="13"/>
  <c r="I361" i="13"/>
  <c r="K361" i="13"/>
  <c r="G361" i="13"/>
  <c r="M361" i="13"/>
  <c r="H361" i="13"/>
  <c r="N361" i="13"/>
  <c r="J361" i="13"/>
  <c r="F361" i="13"/>
  <c r="L361" i="13"/>
  <c r="F11" i="13"/>
  <c r="H11" i="13"/>
  <c r="J11" i="13"/>
  <c r="M11" i="13"/>
  <c r="L11" i="13"/>
  <c r="N11" i="13"/>
  <c r="G11" i="13"/>
  <c r="I11" i="13"/>
  <c r="K11" i="13"/>
  <c r="N39" i="13"/>
  <c r="G39" i="13"/>
  <c r="I39" i="13"/>
  <c r="M39" i="13"/>
  <c r="K39" i="13"/>
  <c r="F39" i="13"/>
  <c r="H39" i="13"/>
  <c r="J39" i="13"/>
  <c r="L39" i="13"/>
  <c r="M74" i="13"/>
  <c r="I74" i="13"/>
  <c r="L74" i="13"/>
  <c r="G74" i="13"/>
  <c r="H74" i="13"/>
  <c r="J74" i="13"/>
  <c r="N74" i="13"/>
  <c r="F74" i="13"/>
  <c r="K74" i="13"/>
  <c r="J123" i="13"/>
  <c r="M123" i="13"/>
  <c r="G123" i="13"/>
  <c r="I123" i="13"/>
  <c r="H123" i="13"/>
  <c r="L123" i="13"/>
  <c r="F123" i="13"/>
  <c r="K123" i="13"/>
  <c r="N123" i="13"/>
  <c r="H165" i="13"/>
  <c r="L165" i="13"/>
  <c r="N165" i="13"/>
  <c r="G165" i="13"/>
  <c r="I165" i="13"/>
  <c r="K165" i="13"/>
  <c r="F165" i="13"/>
  <c r="J165" i="13"/>
  <c r="M165" i="13"/>
  <c r="F193" i="13"/>
  <c r="N193" i="13"/>
  <c r="L193" i="13"/>
  <c r="I193" i="13"/>
  <c r="K193" i="13"/>
  <c r="G193" i="13"/>
  <c r="M193" i="13"/>
  <c r="H193" i="13"/>
  <c r="J193" i="13"/>
  <c r="G235" i="13"/>
  <c r="L235" i="13"/>
  <c r="K235" i="13"/>
  <c r="F235" i="13"/>
  <c r="N235" i="13"/>
  <c r="H235" i="13"/>
  <c r="I235" i="13"/>
  <c r="J235" i="13"/>
  <c r="M235" i="13"/>
  <c r="G277" i="13"/>
  <c r="J277" i="13"/>
  <c r="M277" i="13"/>
  <c r="H277" i="13"/>
  <c r="K277" i="13"/>
  <c r="L277" i="13"/>
  <c r="F277" i="13"/>
  <c r="N277" i="13"/>
  <c r="I277" i="13"/>
  <c r="N305" i="13"/>
  <c r="H305" i="13"/>
  <c r="L305" i="13"/>
  <c r="G305" i="13"/>
  <c r="F305" i="13"/>
  <c r="I305" i="13"/>
  <c r="J305" i="13"/>
  <c r="M305" i="13"/>
  <c r="K305" i="13"/>
  <c r="L333" i="13"/>
  <c r="M333" i="13"/>
  <c r="N333" i="13"/>
  <c r="I333" i="13"/>
  <c r="J333" i="13"/>
  <c r="G333" i="13"/>
  <c r="K333" i="13"/>
  <c r="H333" i="13"/>
  <c r="F333" i="13"/>
  <c r="N382" i="13"/>
  <c r="M382" i="13"/>
  <c r="I382" i="13"/>
  <c r="G382" i="13"/>
  <c r="H382" i="13"/>
  <c r="K382" i="13"/>
  <c r="F382" i="13"/>
  <c r="L382" i="13"/>
  <c r="J382" i="13"/>
  <c r="J6" i="13"/>
  <c r="K6" i="13"/>
  <c r="L6" i="13"/>
  <c r="G6" i="13"/>
  <c r="M6" i="13"/>
  <c r="N6" i="13"/>
  <c r="F6" i="13"/>
  <c r="H6" i="13"/>
  <c r="I6" i="13"/>
  <c r="J13" i="13"/>
  <c r="F13" i="13"/>
  <c r="I13" i="13"/>
  <c r="K13" i="13"/>
  <c r="M13" i="13"/>
  <c r="G13" i="13"/>
  <c r="L13" i="13"/>
  <c r="N13" i="13"/>
  <c r="H13" i="13"/>
  <c r="L20" i="13"/>
  <c r="N20" i="13"/>
  <c r="F20" i="13"/>
  <c r="I20" i="13"/>
  <c r="G20" i="13"/>
  <c r="K20" i="13"/>
  <c r="J20" i="13"/>
  <c r="M20" i="13"/>
  <c r="H20" i="13"/>
  <c r="K27" i="13"/>
  <c r="I27" i="13"/>
  <c r="N27" i="13"/>
  <c r="H27" i="13"/>
  <c r="F27" i="13"/>
  <c r="G27" i="13"/>
  <c r="L27" i="13"/>
  <c r="J27" i="13"/>
  <c r="M27" i="13"/>
  <c r="N34" i="13"/>
  <c r="I34" i="13"/>
  <c r="K34" i="13"/>
  <c r="M34" i="13"/>
  <c r="F34" i="13"/>
  <c r="H34" i="13"/>
  <c r="G34" i="13"/>
  <c r="J34" i="13"/>
  <c r="L34" i="13"/>
  <c r="M41" i="13"/>
  <c r="H41" i="13"/>
  <c r="J41" i="13"/>
  <c r="I41" i="13"/>
  <c r="N41" i="13"/>
  <c r="G41" i="13"/>
  <c r="L41" i="13"/>
  <c r="K41" i="13"/>
  <c r="F41" i="13"/>
  <c r="K48" i="13"/>
  <c r="N48" i="13"/>
  <c r="G48" i="13"/>
  <c r="H48" i="13"/>
  <c r="M48" i="13"/>
  <c r="J48" i="13"/>
  <c r="F48" i="13"/>
  <c r="I48" i="13"/>
  <c r="L48" i="13"/>
  <c r="L55" i="13"/>
  <c r="G55" i="13"/>
  <c r="H55" i="13"/>
  <c r="K55" i="13"/>
  <c r="J55" i="13"/>
  <c r="M55" i="13"/>
  <c r="F55" i="13"/>
  <c r="N55" i="13"/>
  <c r="I55" i="13"/>
  <c r="M62" i="13"/>
  <c r="F62" i="13"/>
  <c r="I62" i="13"/>
  <c r="L62" i="13"/>
  <c r="K62" i="13"/>
  <c r="H62" i="13"/>
  <c r="J62" i="13"/>
  <c r="G62" i="13"/>
  <c r="N62" i="13"/>
  <c r="G69" i="13"/>
  <c r="K69" i="13"/>
  <c r="H69" i="13"/>
  <c r="L69" i="13"/>
  <c r="I69" i="13"/>
  <c r="J69" i="13"/>
  <c r="M69" i="13"/>
  <c r="F69" i="13"/>
  <c r="N69" i="13"/>
  <c r="F76" i="13"/>
  <c r="I76" i="13"/>
  <c r="K76" i="13"/>
  <c r="M76" i="13"/>
  <c r="G76" i="13"/>
  <c r="H76" i="13"/>
  <c r="N76" i="13"/>
  <c r="J76" i="13"/>
  <c r="L76" i="13"/>
  <c r="M83" i="13"/>
  <c r="N83" i="13"/>
  <c r="I83" i="13"/>
  <c r="G83" i="13"/>
  <c r="L83" i="13"/>
  <c r="H83" i="13"/>
  <c r="F83" i="13"/>
  <c r="K83" i="13"/>
  <c r="J83" i="13"/>
  <c r="J90" i="13"/>
  <c r="L90" i="13"/>
  <c r="F90" i="13"/>
  <c r="G90" i="13"/>
  <c r="H90" i="13"/>
  <c r="I90" i="13"/>
  <c r="K90" i="13"/>
  <c r="M90" i="13"/>
  <c r="N90" i="13"/>
  <c r="K97" i="13"/>
  <c r="H97" i="13"/>
  <c r="L97" i="13"/>
  <c r="F97" i="13"/>
  <c r="I97" i="13"/>
  <c r="G97" i="13"/>
  <c r="M97" i="13"/>
  <c r="N97" i="13"/>
  <c r="J97" i="13"/>
  <c r="L104" i="13"/>
  <c r="N104" i="13"/>
  <c r="I104" i="13"/>
  <c r="M104" i="13"/>
  <c r="G104" i="13"/>
  <c r="F104" i="13"/>
  <c r="J104" i="13"/>
  <c r="K104" i="13"/>
  <c r="H104" i="13"/>
  <c r="J111" i="13"/>
  <c r="I111" i="13"/>
  <c r="L111" i="13"/>
  <c r="G111" i="13"/>
  <c r="K111" i="13"/>
  <c r="F111" i="13"/>
  <c r="H111" i="13"/>
  <c r="M111" i="13"/>
  <c r="N111" i="13"/>
  <c r="J118" i="13"/>
  <c r="L118" i="13"/>
  <c r="G118" i="13"/>
  <c r="H118" i="13"/>
  <c r="F118" i="13"/>
  <c r="K118" i="13"/>
  <c r="M118" i="13"/>
  <c r="I118" i="13"/>
  <c r="N118" i="13"/>
  <c r="F125" i="13"/>
  <c r="H125" i="13"/>
  <c r="M125" i="13"/>
  <c r="L125" i="13"/>
  <c r="G125" i="13"/>
  <c r="I125" i="13"/>
  <c r="N125" i="13"/>
  <c r="K125" i="13"/>
  <c r="J125" i="13"/>
  <c r="F132" i="13"/>
  <c r="I132" i="13"/>
  <c r="K132" i="13"/>
  <c r="M132" i="13"/>
  <c r="H132" i="13"/>
  <c r="G132" i="13"/>
  <c r="N132" i="13"/>
  <c r="J132" i="13"/>
  <c r="L132" i="13"/>
  <c r="F139" i="13"/>
  <c r="L139" i="13"/>
  <c r="M139" i="13"/>
  <c r="G139" i="13"/>
  <c r="H139" i="13"/>
  <c r="I139" i="13"/>
  <c r="J139" i="13"/>
  <c r="N139" i="13"/>
  <c r="K139" i="13"/>
  <c r="J146" i="13"/>
  <c r="G146" i="13"/>
  <c r="N146" i="13"/>
  <c r="K146" i="13"/>
  <c r="F146" i="13"/>
  <c r="H146" i="13"/>
  <c r="L146" i="13"/>
  <c r="I146" i="13"/>
  <c r="M146" i="13"/>
  <c r="N153" i="13"/>
  <c r="H153" i="13"/>
  <c r="G153" i="13"/>
  <c r="F153" i="13"/>
  <c r="M153" i="13"/>
  <c r="I153" i="13"/>
  <c r="K153" i="13"/>
  <c r="J153" i="13"/>
  <c r="L153" i="13"/>
  <c r="L160" i="13"/>
  <c r="J160" i="13"/>
  <c r="K160" i="13"/>
  <c r="H160" i="13"/>
  <c r="N160" i="13"/>
  <c r="I160" i="13"/>
  <c r="G160" i="13"/>
  <c r="F160" i="13"/>
  <c r="M160" i="13"/>
  <c r="J167" i="13"/>
  <c r="H167" i="13"/>
  <c r="I167" i="13"/>
  <c r="K167" i="13"/>
  <c r="M167" i="13"/>
  <c r="N167" i="13"/>
  <c r="F167" i="13"/>
  <c r="G167" i="13"/>
  <c r="L167" i="13"/>
  <c r="M174" i="13"/>
  <c r="H174" i="13"/>
  <c r="G174" i="13"/>
  <c r="L174" i="13"/>
  <c r="F174" i="13"/>
  <c r="K174" i="13"/>
  <c r="I174" i="13"/>
  <c r="J174" i="13"/>
  <c r="N174" i="13"/>
  <c r="F181" i="13"/>
  <c r="I181" i="13"/>
  <c r="H181" i="13"/>
  <c r="L181" i="13"/>
  <c r="N181" i="13"/>
  <c r="G181" i="13"/>
  <c r="J181" i="13"/>
  <c r="K181" i="13"/>
  <c r="M181" i="13"/>
  <c r="H188" i="13"/>
  <c r="M188" i="13"/>
  <c r="L188" i="13"/>
  <c r="I188" i="13"/>
  <c r="N188" i="13"/>
  <c r="K188" i="13"/>
  <c r="J188" i="13"/>
  <c r="G188" i="13"/>
  <c r="F188" i="13"/>
  <c r="H195" i="13"/>
  <c r="N195" i="13"/>
  <c r="K195" i="13"/>
  <c r="M195" i="13"/>
  <c r="I195" i="13"/>
  <c r="L195" i="13"/>
  <c r="F195" i="13"/>
  <c r="J195" i="13"/>
  <c r="G195" i="13"/>
  <c r="N202" i="13"/>
  <c r="G202" i="13"/>
  <c r="H202" i="13"/>
  <c r="J202" i="13"/>
  <c r="L202" i="13"/>
  <c r="K202" i="13"/>
  <c r="F202" i="13"/>
  <c r="I202" i="13"/>
  <c r="M202" i="13"/>
  <c r="J209" i="13"/>
  <c r="G209" i="13"/>
  <c r="N209" i="13"/>
  <c r="F209" i="13"/>
  <c r="H209" i="13"/>
  <c r="I209" i="13"/>
  <c r="K209" i="13"/>
  <c r="L209" i="13"/>
  <c r="M209" i="13"/>
  <c r="M216" i="13"/>
  <c r="I216" i="13"/>
  <c r="H216" i="13"/>
  <c r="L216" i="13"/>
  <c r="F216" i="13"/>
  <c r="J216" i="13"/>
  <c r="G216" i="13"/>
  <c r="N216" i="13"/>
  <c r="K216" i="13"/>
  <c r="I223" i="13"/>
  <c r="K223" i="13"/>
  <c r="H223" i="13"/>
  <c r="F223" i="13"/>
  <c r="G223" i="13"/>
  <c r="M223" i="13"/>
  <c r="L223" i="13"/>
  <c r="J223" i="13"/>
  <c r="N223" i="13"/>
  <c r="N230" i="13"/>
  <c r="L230" i="13"/>
  <c r="J230" i="13"/>
  <c r="K230" i="13"/>
  <c r="F230" i="13"/>
  <c r="G230" i="13"/>
  <c r="I230" i="13"/>
  <c r="M230" i="13"/>
  <c r="H230" i="13"/>
  <c r="F237" i="13"/>
  <c r="G237" i="13"/>
  <c r="H237" i="13"/>
  <c r="I237" i="13"/>
  <c r="M237" i="13"/>
  <c r="L237" i="13"/>
  <c r="N237" i="13"/>
  <c r="J237" i="13"/>
  <c r="K237" i="13"/>
  <c r="L244" i="13"/>
  <c r="I244" i="13"/>
  <c r="G244" i="13"/>
  <c r="N244" i="13"/>
  <c r="K244" i="13"/>
  <c r="H244" i="13"/>
  <c r="J244" i="13"/>
  <c r="M244" i="13"/>
  <c r="F244" i="13"/>
  <c r="H251" i="13"/>
  <c r="J251" i="13"/>
  <c r="I251" i="13"/>
  <c r="L251" i="13"/>
  <c r="F251" i="13"/>
  <c r="K251" i="13"/>
  <c r="M251" i="13"/>
  <c r="G251" i="13"/>
  <c r="N251" i="13"/>
  <c r="H258" i="13"/>
  <c r="I258" i="13"/>
  <c r="N258" i="13"/>
  <c r="L258" i="13"/>
  <c r="F258" i="13"/>
  <c r="K258" i="13"/>
  <c r="G258" i="13"/>
  <c r="M258" i="13"/>
  <c r="J258" i="13"/>
  <c r="M265" i="13"/>
  <c r="L265" i="13"/>
  <c r="I265" i="13"/>
  <c r="N265" i="13"/>
  <c r="F265" i="13"/>
  <c r="H265" i="13"/>
  <c r="J265" i="13"/>
  <c r="K265" i="13"/>
  <c r="G265" i="13"/>
  <c r="H272" i="13"/>
  <c r="L272" i="13"/>
  <c r="J272" i="13"/>
  <c r="M272" i="13"/>
  <c r="I272" i="13"/>
  <c r="K272" i="13"/>
  <c r="N272" i="13"/>
  <c r="F272" i="13"/>
  <c r="G272" i="13"/>
  <c r="I279" i="13"/>
  <c r="G279" i="13"/>
  <c r="J279" i="13"/>
  <c r="H279" i="13"/>
  <c r="L279" i="13"/>
  <c r="M279" i="13"/>
  <c r="K279" i="13"/>
  <c r="N279" i="13"/>
  <c r="F279" i="13"/>
  <c r="K286" i="13"/>
  <c r="N286" i="13"/>
  <c r="G286" i="13"/>
  <c r="L286" i="13"/>
  <c r="I286" i="13"/>
  <c r="M286" i="13"/>
  <c r="F286" i="13"/>
  <c r="H286" i="13"/>
  <c r="J286" i="13"/>
  <c r="N293" i="13"/>
  <c r="G293" i="13"/>
  <c r="F293" i="13"/>
  <c r="I293" i="13"/>
  <c r="L293" i="13"/>
  <c r="H293" i="13"/>
  <c r="M293" i="13"/>
  <c r="K293" i="13"/>
  <c r="J293" i="13"/>
  <c r="I300" i="13"/>
  <c r="K300" i="13"/>
  <c r="L300" i="13"/>
  <c r="H300" i="13"/>
  <c r="M300" i="13"/>
  <c r="G300" i="13"/>
  <c r="N300" i="13"/>
  <c r="J300" i="13"/>
  <c r="F300" i="13"/>
  <c r="F307" i="13"/>
  <c r="N307" i="13"/>
  <c r="G307" i="13"/>
  <c r="I307" i="13"/>
  <c r="J307" i="13"/>
  <c r="K307" i="13"/>
  <c r="L307" i="13"/>
  <c r="M307" i="13"/>
  <c r="H307" i="13"/>
  <c r="J314" i="13"/>
  <c r="K314" i="13"/>
  <c r="I314" i="13"/>
  <c r="G314" i="13"/>
  <c r="M314" i="13"/>
  <c r="H314" i="13"/>
  <c r="N314" i="13"/>
  <c r="F314" i="13"/>
  <c r="L314" i="13"/>
  <c r="K321" i="13"/>
  <c r="N321" i="13"/>
  <c r="J321" i="13"/>
  <c r="L321" i="13"/>
  <c r="G321" i="13"/>
  <c r="I321" i="13"/>
  <c r="M321" i="13"/>
  <c r="F321" i="13"/>
  <c r="H321" i="13"/>
  <c r="N328" i="13"/>
  <c r="F328" i="13"/>
  <c r="M328" i="13"/>
  <c r="H328" i="13"/>
  <c r="J328" i="13"/>
  <c r="I328" i="13"/>
  <c r="G328" i="13"/>
  <c r="K328" i="13"/>
  <c r="L328" i="13"/>
  <c r="F335" i="13"/>
  <c r="M335" i="13"/>
  <c r="N335" i="13"/>
  <c r="L335" i="13"/>
  <c r="H335" i="13"/>
  <c r="K335" i="13"/>
  <c r="J335" i="13"/>
  <c r="G335" i="13"/>
  <c r="I335" i="13"/>
  <c r="G342" i="13"/>
  <c r="L342" i="13"/>
  <c r="J342" i="13"/>
  <c r="F342" i="13"/>
  <c r="H342" i="13"/>
  <c r="I342" i="13"/>
  <c r="N342" i="13"/>
  <c r="M342" i="13"/>
  <c r="K342" i="13"/>
  <c r="H349" i="13"/>
  <c r="J349" i="13"/>
  <c r="L349" i="13"/>
  <c r="G349" i="13"/>
  <c r="M349" i="13"/>
  <c r="K349" i="13"/>
  <c r="N349" i="13"/>
  <c r="I349" i="13"/>
  <c r="F349" i="13"/>
  <c r="H356" i="13"/>
  <c r="N356" i="13"/>
  <c r="F356" i="13"/>
  <c r="J356" i="13"/>
  <c r="M356" i="13"/>
  <c r="I356" i="13"/>
  <c r="L356" i="13"/>
  <c r="G356" i="13"/>
  <c r="K356" i="13"/>
  <c r="J363" i="13"/>
  <c r="L363" i="13"/>
  <c r="G363" i="13"/>
  <c r="I363" i="13"/>
  <c r="K363" i="13"/>
  <c r="M363" i="13"/>
  <c r="N363" i="13"/>
  <c r="F363" i="13"/>
  <c r="H363" i="13"/>
  <c r="L370" i="13"/>
  <c r="H370" i="13"/>
  <c r="I370" i="13"/>
  <c r="F370" i="13"/>
  <c r="K370" i="13"/>
  <c r="J370" i="13"/>
  <c r="G370" i="13"/>
  <c r="M370" i="13"/>
  <c r="N370" i="13"/>
  <c r="N377" i="13"/>
  <c r="I377" i="13"/>
  <c r="F377" i="13"/>
  <c r="M377" i="13"/>
  <c r="L377" i="13"/>
  <c r="K377" i="13"/>
  <c r="G377" i="13"/>
  <c r="J377" i="13"/>
  <c r="H377" i="13"/>
  <c r="K384" i="13"/>
  <c r="L384" i="13"/>
  <c r="J384" i="13"/>
  <c r="I384" i="13"/>
  <c r="N384" i="13"/>
  <c r="F384" i="13"/>
  <c r="H384" i="13"/>
  <c r="M384" i="13"/>
  <c r="G384" i="13"/>
  <c r="L391" i="13"/>
  <c r="J391" i="13"/>
  <c r="M391" i="13"/>
  <c r="K391" i="13"/>
  <c r="H391" i="13"/>
  <c r="I391" i="13"/>
  <c r="G391" i="13"/>
  <c r="N391" i="13"/>
  <c r="F391" i="13"/>
  <c r="F398" i="13"/>
  <c r="M398" i="13"/>
  <c r="I398" i="13"/>
  <c r="K398" i="13"/>
  <c r="J398" i="13"/>
  <c r="G398" i="13"/>
  <c r="L398" i="13"/>
  <c r="N398" i="13"/>
  <c r="H398" i="13"/>
  <c r="Q398" i="13" s="1"/>
  <c r="G102" i="13"/>
  <c r="I102" i="13"/>
  <c r="M102" i="13"/>
  <c r="N102" i="13"/>
  <c r="F102" i="13"/>
  <c r="J102" i="13"/>
  <c r="K102" i="13"/>
  <c r="L102" i="13"/>
  <c r="H102" i="13"/>
  <c r="H340" i="13"/>
  <c r="K340" i="13"/>
  <c r="I340" i="13"/>
  <c r="F340" i="13"/>
  <c r="N340" i="13"/>
  <c r="M340" i="13"/>
  <c r="J340" i="13"/>
  <c r="L340" i="13"/>
  <c r="G340" i="13"/>
  <c r="F56" i="13"/>
  <c r="N56" i="13"/>
  <c r="L56" i="13"/>
  <c r="J56" i="13"/>
  <c r="G56" i="13"/>
  <c r="I56" i="13"/>
  <c r="K56" i="13"/>
  <c r="M56" i="13"/>
  <c r="H56" i="13"/>
  <c r="H77" i="13"/>
  <c r="N77" i="13"/>
  <c r="K77" i="13"/>
  <c r="M77" i="13"/>
  <c r="I77" i="13"/>
  <c r="L77" i="13"/>
  <c r="F77" i="13"/>
  <c r="G77" i="13"/>
  <c r="J77" i="13"/>
  <c r="I98" i="13"/>
  <c r="H98" i="13"/>
  <c r="N98" i="13"/>
  <c r="L98" i="13"/>
  <c r="K98" i="13"/>
  <c r="F98" i="13"/>
  <c r="M98" i="13"/>
  <c r="J98" i="13"/>
  <c r="G98" i="13"/>
  <c r="G119" i="13"/>
  <c r="F119" i="13"/>
  <c r="L119" i="13"/>
  <c r="K119" i="13"/>
  <c r="M119" i="13"/>
  <c r="I119" i="13"/>
  <c r="H119" i="13"/>
  <c r="N119" i="13"/>
  <c r="J119" i="13"/>
  <c r="H126" i="13"/>
  <c r="J126" i="13"/>
  <c r="N126" i="13"/>
  <c r="L126" i="13"/>
  <c r="G126" i="13"/>
  <c r="K126" i="13"/>
  <c r="M126" i="13"/>
  <c r="I126" i="13"/>
  <c r="F126" i="13"/>
  <c r="K133" i="13"/>
  <c r="F133" i="13"/>
  <c r="G133" i="13"/>
  <c r="M133" i="13"/>
  <c r="H133" i="13"/>
  <c r="J133" i="13"/>
  <c r="N133" i="13"/>
  <c r="L133" i="13"/>
  <c r="I133" i="13"/>
  <c r="L140" i="13"/>
  <c r="I140" i="13"/>
  <c r="F140" i="13"/>
  <c r="H140" i="13"/>
  <c r="M140" i="13"/>
  <c r="J140" i="13"/>
  <c r="G140" i="13"/>
  <c r="K140" i="13"/>
  <c r="N140" i="13"/>
  <c r="K147" i="13"/>
  <c r="J147" i="13"/>
  <c r="N147" i="13"/>
  <c r="F147" i="13"/>
  <c r="G147" i="13"/>
  <c r="H147" i="13"/>
  <c r="M147" i="13"/>
  <c r="I147" i="13"/>
  <c r="L147" i="13"/>
  <c r="N154" i="13"/>
  <c r="H154" i="13"/>
  <c r="M154" i="13"/>
  <c r="I154" i="13"/>
  <c r="F154" i="13"/>
  <c r="K154" i="13"/>
  <c r="G154" i="13"/>
  <c r="J154" i="13"/>
  <c r="L154" i="13"/>
  <c r="L161" i="13"/>
  <c r="I161" i="13"/>
  <c r="J161" i="13"/>
  <c r="F161" i="13"/>
  <c r="K161" i="13"/>
  <c r="M161" i="13"/>
  <c r="N161" i="13"/>
  <c r="G161" i="13"/>
  <c r="H161" i="13"/>
  <c r="I168" i="13"/>
  <c r="N168" i="13"/>
  <c r="G168" i="13"/>
  <c r="J168" i="13"/>
  <c r="K168" i="13"/>
  <c r="M168" i="13"/>
  <c r="F168" i="13"/>
  <c r="L168" i="13"/>
  <c r="H168" i="13"/>
  <c r="H175" i="13"/>
  <c r="M175" i="13"/>
  <c r="F175" i="13"/>
  <c r="I175" i="13"/>
  <c r="N175" i="13"/>
  <c r="K175" i="13"/>
  <c r="G175" i="13"/>
  <c r="L175" i="13"/>
  <c r="J175" i="13"/>
  <c r="G182" i="13"/>
  <c r="H182" i="13"/>
  <c r="M182" i="13"/>
  <c r="J182" i="13"/>
  <c r="K182" i="13"/>
  <c r="I182" i="13"/>
  <c r="L182" i="13"/>
  <c r="F182" i="13"/>
  <c r="N182" i="13"/>
  <c r="F189" i="13"/>
  <c r="I189" i="13"/>
  <c r="M189" i="13"/>
  <c r="N189" i="13"/>
  <c r="H189" i="13"/>
  <c r="L189" i="13"/>
  <c r="J189" i="13"/>
  <c r="K189" i="13"/>
  <c r="G189" i="13"/>
  <c r="I196" i="13"/>
  <c r="J196" i="13"/>
  <c r="K196" i="13"/>
  <c r="F196" i="13"/>
  <c r="H196" i="13"/>
  <c r="N196" i="13"/>
  <c r="G196" i="13"/>
  <c r="M196" i="13"/>
  <c r="L196" i="13"/>
  <c r="L203" i="13"/>
  <c r="G203" i="13"/>
  <c r="I203" i="13"/>
  <c r="F203" i="13"/>
  <c r="J203" i="13"/>
  <c r="K203" i="13"/>
  <c r="H203" i="13"/>
  <c r="M203" i="13"/>
  <c r="N203" i="13"/>
  <c r="N210" i="13"/>
  <c r="J210" i="13"/>
  <c r="L210" i="13"/>
  <c r="K210" i="13"/>
  <c r="I210" i="13"/>
  <c r="G210" i="13"/>
  <c r="M210" i="13"/>
  <c r="H210" i="13"/>
  <c r="F210" i="13"/>
  <c r="L217" i="13"/>
  <c r="J217" i="13"/>
  <c r="M217" i="13"/>
  <c r="H217" i="13"/>
  <c r="G217" i="13"/>
  <c r="N217" i="13"/>
  <c r="F217" i="13"/>
  <c r="K217" i="13"/>
  <c r="I217" i="13"/>
  <c r="I224" i="13"/>
  <c r="J224" i="13"/>
  <c r="H224" i="13"/>
  <c r="F224" i="13"/>
  <c r="N224" i="13"/>
  <c r="K224" i="13"/>
  <c r="M224" i="13"/>
  <c r="G224" i="13"/>
  <c r="L224" i="13"/>
  <c r="G231" i="13"/>
  <c r="L231" i="13"/>
  <c r="M231" i="13"/>
  <c r="H231" i="13"/>
  <c r="I231" i="13"/>
  <c r="J231" i="13"/>
  <c r="N231" i="13"/>
  <c r="F231" i="13"/>
  <c r="K231" i="13"/>
  <c r="L238" i="13"/>
  <c r="G238" i="13"/>
  <c r="K238" i="13"/>
  <c r="H238" i="13"/>
  <c r="M238" i="13"/>
  <c r="F238" i="13"/>
  <c r="J238" i="13"/>
  <c r="I238" i="13"/>
  <c r="N238" i="13"/>
  <c r="I245" i="13"/>
  <c r="J245" i="13"/>
  <c r="H245" i="13"/>
  <c r="N245" i="13"/>
  <c r="G245" i="13"/>
  <c r="F245" i="13"/>
  <c r="L245" i="13"/>
  <c r="M245" i="13"/>
  <c r="K245" i="13"/>
  <c r="H252" i="13"/>
  <c r="M252" i="13"/>
  <c r="F252" i="13"/>
  <c r="I252" i="13"/>
  <c r="N252" i="13"/>
  <c r="G252" i="13"/>
  <c r="L252" i="13"/>
  <c r="J252" i="13"/>
  <c r="K252" i="13"/>
  <c r="N259" i="13"/>
  <c r="F259" i="13"/>
  <c r="H259" i="13"/>
  <c r="I259" i="13"/>
  <c r="J259" i="13"/>
  <c r="L259" i="13"/>
  <c r="M259" i="13"/>
  <c r="K259" i="13"/>
  <c r="G259" i="13"/>
  <c r="H266" i="13"/>
  <c r="G266" i="13"/>
  <c r="N266" i="13"/>
  <c r="K266" i="13"/>
  <c r="J266" i="13"/>
  <c r="I266" i="13"/>
  <c r="M266" i="13"/>
  <c r="L266" i="13"/>
  <c r="F266" i="13"/>
  <c r="M273" i="13"/>
  <c r="J273" i="13"/>
  <c r="N273" i="13"/>
  <c r="H273" i="13"/>
  <c r="I273" i="13"/>
  <c r="L273" i="13"/>
  <c r="F273" i="13"/>
  <c r="G273" i="13"/>
  <c r="K273" i="13"/>
  <c r="K280" i="13"/>
  <c r="F280" i="13"/>
  <c r="G280" i="13"/>
  <c r="M280" i="13"/>
  <c r="N280" i="13"/>
  <c r="I280" i="13"/>
  <c r="J280" i="13"/>
  <c r="H280" i="13"/>
  <c r="L280" i="13"/>
  <c r="L287" i="13"/>
  <c r="M287" i="13"/>
  <c r="G287" i="13"/>
  <c r="F287" i="13"/>
  <c r="N287" i="13"/>
  <c r="I287" i="13"/>
  <c r="K287" i="13"/>
  <c r="H287" i="13"/>
  <c r="J287" i="13"/>
  <c r="I294" i="13"/>
  <c r="F294" i="13"/>
  <c r="L294" i="13"/>
  <c r="J294" i="13"/>
  <c r="M294" i="13"/>
  <c r="N294" i="13"/>
  <c r="H294" i="13"/>
  <c r="G294" i="13"/>
  <c r="K294" i="13"/>
  <c r="N301" i="13"/>
  <c r="H301" i="13"/>
  <c r="J301" i="13"/>
  <c r="F301" i="13"/>
  <c r="M301" i="13"/>
  <c r="L301" i="13"/>
  <c r="G301" i="13"/>
  <c r="K301" i="13"/>
  <c r="I301" i="13"/>
  <c r="F308" i="13"/>
  <c r="K308" i="13"/>
  <c r="G308" i="13"/>
  <c r="L308" i="13"/>
  <c r="H308" i="13"/>
  <c r="N308" i="13"/>
  <c r="J308" i="13"/>
  <c r="M308" i="13"/>
  <c r="I308" i="13"/>
  <c r="G315" i="13"/>
  <c r="J315" i="13"/>
  <c r="N315" i="13"/>
  <c r="I315" i="13"/>
  <c r="M315" i="13"/>
  <c r="K315" i="13"/>
  <c r="L315" i="13"/>
  <c r="H315" i="13"/>
  <c r="F315" i="13"/>
  <c r="L322" i="13"/>
  <c r="G322" i="13"/>
  <c r="K322" i="13"/>
  <c r="J322" i="13"/>
  <c r="I322" i="13"/>
  <c r="M322" i="13"/>
  <c r="F322" i="13"/>
  <c r="N322" i="13"/>
  <c r="H322" i="13"/>
  <c r="M329" i="13"/>
  <c r="H329" i="13"/>
  <c r="J329" i="13"/>
  <c r="N329" i="13"/>
  <c r="G329" i="13"/>
  <c r="F329" i="13"/>
  <c r="I329" i="13"/>
  <c r="L329" i="13"/>
  <c r="K329" i="13"/>
  <c r="M336" i="13"/>
  <c r="G336" i="13"/>
  <c r="F336" i="13"/>
  <c r="J336" i="13"/>
  <c r="L336" i="13"/>
  <c r="I336" i="13"/>
  <c r="N336" i="13"/>
  <c r="H336" i="13"/>
  <c r="K336" i="13"/>
  <c r="M343" i="13"/>
  <c r="G343" i="13"/>
  <c r="I343" i="13"/>
  <c r="K343" i="13"/>
  <c r="J343" i="13"/>
  <c r="F343" i="13"/>
  <c r="L343" i="13"/>
  <c r="N343" i="13"/>
  <c r="H343" i="13"/>
  <c r="K350" i="13"/>
  <c r="J350" i="13"/>
  <c r="M350" i="13"/>
  <c r="F350" i="13"/>
  <c r="I350" i="13"/>
  <c r="G350" i="13"/>
  <c r="L350" i="13"/>
  <c r="H350" i="13"/>
  <c r="N350" i="13"/>
  <c r="K357" i="13"/>
  <c r="G357" i="13"/>
  <c r="I357" i="13"/>
  <c r="L357" i="13"/>
  <c r="M357" i="13"/>
  <c r="F357" i="13"/>
  <c r="H357" i="13"/>
  <c r="J357" i="13"/>
  <c r="N357" i="13"/>
  <c r="G364" i="13"/>
  <c r="J364" i="13"/>
  <c r="H364" i="13"/>
  <c r="L364" i="13"/>
  <c r="N364" i="13"/>
  <c r="F364" i="13"/>
  <c r="I364" i="13"/>
  <c r="K364" i="13"/>
  <c r="M364" i="13"/>
  <c r="H371" i="13"/>
  <c r="N371" i="13"/>
  <c r="J371" i="13"/>
  <c r="F371" i="13"/>
  <c r="I371" i="13"/>
  <c r="G371" i="13"/>
  <c r="M371" i="13"/>
  <c r="L371" i="13"/>
  <c r="K371" i="13"/>
  <c r="G378" i="13"/>
  <c r="L378" i="13"/>
  <c r="F378" i="13"/>
  <c r="N378" i="13"/>
  <c r="K378" i="13"/>
  <c r="I378" i="13"/>
  <c r="M378" i="13"/>
  <c r="H378" i="13"/>
  <c r="J378" i="13"/>
  <c r="F385" i="13"/>
  <c r="N385" i="13"/>
  <c r="J385" i="13"/>
  <c r="I385" i="13"/>
  <c r="K385" i="13"/>
  <c r="L385" i="13"/>
  <c r="H385" i="13"/>
  <c r="G385" i="13"/>
  <c r="M385" i="13"/>
  <c r="J392" i="13"/>
  <c r="K392" i="13"/>
  <c r="I392" i="13"/>
  <c r="G392" i="13"/>
  <c r="H392" i="13"/>
  <c r="N392" i="13"/>
  <c r="L392" i="13"/>
  <c r="M392" i="13"/>
  <c r="F392" i="13"/>
  <c r="L399" i="13"/>
  <c r="M399" i="13"/>
  <c r="I399" i="13"/>
  <c r="F399" i="13"/>
  <c r="H399" i="13"/>
  <c r="G399" i="13"/>
  <c r="K399" i="13"/>
  <c r="N399" i="13"/>
  <c r="J399" i="13"/>
  <c r="K67" i="13"/>
  <c r="G67" i="13"/>
  <c r="I67" i="13"/>
  <c r="N67" i="13"/>
  <c r="M67" i="13"/>
  <c r="L67" i="13"/>
  <c r="H67" i="13"/>
  <c r="J67" i="13"/>
  <c r="F67" i="13"/>
  <c r="J389" i="13"/>
  <c r="H389" i="13"/>
  <c r="L389" i="13"/>
  <c r="I389" i="13"/>
  <c r="G389" i="13"/>
  <c r="N389" i="13"/>
  <c r="F389" i="13"/>
  <c r="K389" i="13"/>
  <c r="M389" i="13"/>
  <c r="L46" i="13"/>
  <c r="F46" i="13"/>
  <c r="M46" i="13"/>
  <c r="I46" i="13"/>
  <c r="J46" i="13"/>
  <c r="K46" i="13"/>
  <c r="H46" i="13"/>
  <c r="G46" i="13"/>
  <c r="N46" i="13"/>
  <c r="M158" i="13"/>
  <c r="F158" i="13"/>
  <c r="N158" i="13"/>
  <c r="I158" i="13"/>
  <c r="G158" i="13"/>
  <c r="L158" i="13"/>
  <c r="J158" i="13"/>
  <c r="K158" i="13"/>
  <c r="H158" i="13"/>
  <c r="F263" i="13"/>
  <c r="K263" i="13"/>
  <c r="G263" i="13"/>
  <c r="I263" i="13"/>
  <c r="H263" i="13"/>
  <c r="L263" i="13"/>
  <c r="N263" i="13"/>
  <c r="M263" i="13"/>
  <c r="J263" i="13"/>
  <c r="L347" i="13"/>
  <c r="N347" i="13"/>
  <c r="H347" i="13"/>
  <c r="G347" i="13"/>
  <c r="M347" i="13"/>
  <c r="K347" i="13"/>
  <c r="I347" i="13"/>
  <c r="J347" i="13"/>
  <c r="F347" i="13"/>
  <c r="M21" i="13"/>
  <c r="J21" i="13"/>
  <c r="L21" i="13"/>
  <c r="K21" i="13"/>
  <c r="F21" i="13"/>
  <c r="N21" i="13"/>
  <c r="H21" i="13"/>
  <c r="G21" i="13"/>
  <c r="I21" i="13"/>
  <c r="I70" i="13"/>
  <c r="K70" i="13"/>
  <c r="M70" i="13"/>
  <c r="L70" i="13"/>
  <c r="H70" i="13"/>
  <c r="J70" i="13"/>
  <c r="N70" i="13"/>
  <c r="G70" i="13"/>
  <c r="F70" i="13"/>
  <c r="G105" i="13"/>
  <c r="I105" i="13"/>
  <c r="L105" i="13"/>
  <c r="K105" i="13"/>
  <c r="M105" i="13"/>
  <c r="N105" i="13"/>
  <c r="F105" i="13"/>
  <c r="J105" i="13"/>
  <c r="H105" i="13"/>
  <c r="L15" i="13"/>
  <c r="N15" i="13"/>
  <c r="K15" i="13"/>
  <c r="H15" i="13"/>
  <c r="J15" i="13"/>
  <c r="M15" i="13"/>
  <c r="F15" i="13"/>
  <c r="G15" i="13"/>
  <c r="I15" i="13"/>
  <c r="K29" i="13"/>
  <c r="J29" i="13"/>
  <c r="G29" i="13"/>
  <c r="F29" i="13"/>
  <c r="M29" i="13"/>
  <c r="I29" i="13"/>
  <c r="H29" i="13"/>
  <c r="N29" i="13"/>
  <c r="L29" i="13"/>
  <c r="H36" i="13"/>
  <c r="L36" i="13"/>
  <c r="M36" i="13"/>
  <c r="G36" i="13"/>
  <c r="I36" i="13"/>
  <c r="J36" i="13"/>
  <c r="N36" i="13"/>
  <c r="K36" i="13"/>
  <c r="F36" i="13"/>
  <c r="H43" i="13"/>
  <c r="F43" i="13"/>
  <c r="N43" i="13"/>
  <c r="K43" i="13"/>
  <c r="J43" i="13"/>
  <c r="I43" i="13"/>
  <c r="G43" i="13"/>
  <c r="M43" i="13"/>
  <c r="L43" i="13"/>
  <c r="K50" i="13"/>
  <c r="H50" i="13"/>
  <c r="J50" i="13"/>
  <c r="L50" i="13"/>
  <c r="I50" i="13"/>
  <c r="F50" i="13"/>
  <c r="G50" i="13"/>
  <c r="N50" i="13"/>
  <c r="M50" i="13"/>
  <c r="F57" i="13"/>
  <c r="G57" i="13"/>
  <c r="K57" i="13"/>
  <c r="J57" i="13"/>
  <c r="M57" i="13"/>
  <c r="L57" i="13"/>
  <c r="N57" i="13"/>
  <c r="H57" i="13"/>
  <c r="I57" i="13"/>
  <c r="G64" i="13"/>
  <c r="K64" i="13"/>
  <c r="J64" i="13"/>
  <c r="I64" i="13"/>
  <c r="N64" i="13"/>
  <c r="M64" i="13"/>
  <c r="H64" i="13"/>
  <c r="F64" i="13"/>
  <c r="L64" i="13"/>
  <c r="L71" i="13"/>
  <c r="H71" i="13"/>
  <c r="N71" i="13"/>
  <c r="J71" i="13"/>
  <c r="F71" i="13"/>
  <c r="I71" i="13"/>
  <c r="G71" i="13"/>
  <c r="K71" i="13"/>
  <c r="M71" i="13"/>
  <c r="N78" i="13"/>
  <c r="G78" i="13"/>
  <c r="J78" i="13"/>
  <c r="I78" i="13"/>
  <c r="K78" i="13"/>
  <c r="M78" i="13"/>
  <c r="L78" i="13"/>
  <c r="F78" i="13"/>
  <c r="H78" i="13"/>
  <c r="J85" i="13"/>
  <c r="M85" i="13"/>
  <c r="L85" i="13"/>
  <c r="F85" i="13"/>
  <c r="K85" i="13"/>
  <c r="N85" i="13"/>
  <c r="H85" i="13"/>
  <c r="G85" i="13"/>
  <c r="I85" i="13"/>
  <c r="N92" i="13"/>
  <c r="F92" i="13"/>
  <c r="J92" i="13"/>
  <c r="H92" i="13"/>
  <c r="M92" i="13"/>
  <c r="I92" i="13"/>
  <c r="K92" i="13"/>
  <c r="G92" i="13"/>
  <c r="L92" i="13"/>
  <c r="J99" i="13"/>
  <c r="G99" i="13"/>
  <c r="L99" i="13"/>
  <c r="K99" i="13"/>
  <c r="F99" i="13"/>
  <c r="M99" i="13"/>
  <c r="H99" i="13"/>
  <c r="I99" i="13"/>
  <c r="N99" i="13"/>
  <c r="H106" i="13"/>
  <c r="L106" i="13"/>
  <c r="G106" i="13"/>
  <c r="J106" i="13"/>
  <c r="I106" i="13"/>
  <c r="K106" i="13"/>
  <c r="N106" i="13"/>
  <c r="F106" i="13"/>
  <c r="M106" i="13"/>
  <c r="H113" i="13"/>
  <c r="M113" i="13"/>
  <c r="F113" i="13"/>
  <c r="L113" i="13"/>
  <c r="G113" i="13"/>
  <c r="I113" i="13"/>
  <c r="K113" i="13"/>
  <c r="J113" i="13"/>
  <c r="N113" i="13"/>
  <c r="F120" i="13"/>
  <c r="K120" i="13"/>
  <c r="G120" i="13"/>
  <c r="J120" i="13"/>
  <c r="M120" i="13"/>
  <c r="L120" i="13"/>
  <c r="N120" i="13"/>
  <c r="H120" i="13"/>
  <c r="I120" i="13"/>
  <c r="J127" i="13"/>
  <c r="G127" i="13"/>
  <c r="M127" i="13"/>
  <c r="H127" i="13"/>
  <c r="L127" i="13"/>
  <c r="F127" i="13"/>
  <c r="I127" i="13"/>
  <c r="N127" i="13"/>
  <c r="K127" i="13"/>
  <c r="J134" i="13"/>
  <c r="N134" i="13"/>
  <c r="K134" i="13"/>
  <c r="M134" i="13"/>
  <c r="H134" i="13"/>
  <c r="I134" i="13"/>
  <c r="F134" i="13"/>
  <c r="L134" i="13"/>
  <c r="G134" i="13"/>
  <c r="N141" i="13"/>
  <c r="H141" i="13"/>
  <c r="K141" i="13"/>
  <c r="I141" i="13"/>
  <c r="L141" i="13"/>
  <c r="M141" i="13"/>
  <c r="F141" i="13"/>
  <c r="J141" i="13"/>
  <c r="G141" i="13"/>
  <c r="J148" i="13"/>
  <c r="F148" i="13"/>
  <c r="M148" i="13"/>
  <c r="K148" i="13"/>
  <c r="L148" i="13"/>
  <c r="N148" i="13"/>
  <c r="G148" i="13"/>
  <c r="H148" i="13"/>
  <c r="I148" i="13"/>
  <c r="J155" i="13"/>
  <c r="H155" i="13"/>
  <c r="M155" i="13"/>
  <c r="K155" i="13"/>
  <c r="F155" i="13"/>
  <c r="I155" i="13"/>
  <c r="L155" i="13"/>
  <c r="G155" i="13"/>
  <c r="N155" i="13"/>
  <c r="J162" i="13"/>
  <c r="L162" i="13"/>
  <c r="K162" i="13"/>
  <c r="H162" i="13"/>
  <c r="G162" i="13"/>
  <c r="M162" i="13"/>
  <c r="N162" i="13"/>
  <c r="I162" i="13"/>
  <c r="F162" i="13"/>
  <c r="H169" i="13"/>
  <c r="F169" i="13"/>
  <c r="L169" i="13"/>
  <c r="I169" i="13"/>
  <c r="N169" i="13"/>
  <c r="J169" i="13"/>
  <c r="M169" i="13"/>
  <c r="K169" i="13"/>
  <c r="G169" i="13"/>
  <c r="N176" i="13"/>
  <c r="F176" i="13"/>
  <c r="K176" i="13"/>
  <c r="M176" i="13"/>
  <c r="I176" i="13"/>
  <c r="G176" i="13"/>
  <c r="J176" i="13"/>
  <c r="H176" i="13"/>
  <c r="L176" i="13"/>
  <c r="L183" i="13"/>
  <c r="F183" i="13"/>
  <c r="K183" i="13"/>
  <c r="G183" i="13"/>
  <c r="I183" i="13"/>
  <c r="J183" i="13"/>
  <c r="M183" i="13"/>
  <c r="H183" i="13"/>
  <c r="N183" i="13"/>
  <c r="G190" i="13"/>
  <c r="L190" i="13"/>
  <c r="M190" i="13"/>
  <c r="J190" i="13"/>
  <c r="I190" i="13"/>
  <c r="H190" i="13"/>
  <c r="N190" i="13"/>
  <c r="K190" i="13"/>
  <c r="F190" i="13"/>
  <c r="G197" i="13"/>
  <c r="J197" i="13"/>
  <c r="K197" i="13"/>
  <c r="M197" i="13"/>
  <c r="N197" i="13"/>
  <c r="L197" i="13"/>
  <c r="H197" i="13"/>
  <c r="F197" i="13"/>
  <c r="I197" i="13"/>
  <c r="F204" i="13"/>
  <c r="H204" i="13"/>
  <c r="K204" i="13"/>
  <c r="G204" i="13"/>
  <c r="N204" i="13"/>
  <c r="I204" i="13"/>
  <c r="J204" i="13"/>
  <c r="L204" i="13"/>
  <c r="M204" i="13"/>
  <c r="J211" i="13"/>
  <c r="M211" i="13"/>
  <c r="F211" i="13"/>
  <c r="N211" i="13"/>
  <c r="I211" i="13"/>
  <c r="G211" i="13"/>
  <c r="K211" i="13"/>
  <c r="H211" i="13"/>
  <c r="L211" i="13"/>
  <c r="J218" i="13"/>
  <c r="F218" i="13"/>
  <c r="L218" i="13"/>
  <c r="G218" i="13"/>
  <c r="H218" i="13"/>
  <c r="I218" i="13"/>
  <c r="M218" i="13"/>
  <c r="K218" i="13"/>
  <c r="N218" i="13"/>
  <c r="H225" i="13"/>
  <c r="L225" i="13"/>
  <c r="K225" i="13"/>
  <c r="M225" i="13"/>
  <c r="F225" i="13"/>
  <c r="I225" i="13"/>
  <c r="J225" i="13"/>
  <c r="G225" i="13"/>
  <c r="N225" i="13"/>
  <c r="L232" i="13"/>
  <c r="F232" i="13"/>
  <c r="G232" i="13"/>
  <c r="J232" i="13"/>
  <c r="H232" i="13"/>
  <c r="N232" i="13"/>
  <c r="I232" i="13"/>
  <c r="M232" i="13"/>
  <c r="K232" i="13"/>
  <c r="H239" i="13"/>
  <c r="F239" i="13"/>
  <c r="G239" i="13"/>
  <c r="L239" i="13"/>
  <c r="M239" i="13"/>
  <c r="K239" i="13"/>
  <c r="J239" i="13"/>
  <c r="I239" i="13"/>
  <c r="N239" i="13"/>
  <c r="H246" i="13"/>
  <c r="G246" i="13"/>
  <c r="L246" i="13"/>
  <c r="J246" i="13"/>
  <c r="K246" i="13"/>
  <c r="M246" i="13"/>
  <c r="I246" i="13"/>
  <c r="N246" i="13"/>
  <c r="F246" i="13"/>
  <c r="F253" i="13"/>
  <c r="H253" i="13"/>
  <c r="J253" i="13"/>
  <c r="M253" i="13"/>
  <c r="N253" i="13"/>
  <c r="I253" i="13"/>
  <c r="G253" i="13"/>
  <c r="K253" i="13"/>
  <c r="L253" i="13"/>
  <c r="L260" i="13"/>
  <c r="I260" i="13"/>
  <c r="J260" i="13"/>
  <c r="G260" i="13"/>
  <c r="N260" i="13"/>
  <c r="F260" i="13"/>
  <c r="H260" i="13"/>
  <c r="M260" i="13"/>
  <c r="K260" i="13"/>
  <c r="F267" i="13"/>
  <c r="M267" i="13"/>
  <c r="H267" i="13"/>
  <c r="L267" i="13"/>
  <c r="N267" i="13"/>
  <c r="I267" i="13"/>
  <c r="K267" i="13"/>
  <c r="J267" i="13"/>
  <c r="G267" i="13"/>
  <c r="M274" i="13"/>
  <c r="N274" i="13"/>
  <c r="G274" i="13"/>
  <c r="J274" i="13"/>
  <c r="I274" i="13"/>
  <c r="H274" i="13"/>
  <c r="L274" i="13"/>
  <c r="K274" i="13"/>
  <c r="F274" i="13"/>
  <c r="M281" i="13"/>
  <c r="J281" i="13"/>
  <c r="N281" i="13"/>
  <c r="F281" i="13"/>
  <c r="I281" i="13"/>
  <c r="L281" i="13"/>
  <c r="G281" i="13"/>
  <c r="K281" i="13"/>
  <c r="H281" i="13"/>
  <c r="I288" i="13"/>
  <c r="M288" i="13"/>
  <c r="H288" i="13"/>
  <c r="J288" i="13"/>
  <c r="K288" i="13"/>
  <c r="F288" i="13"/>
  <c r="L288" i="13"/>
  <c r="N288" i="13"/>
  <c r="G288" i="13"/>
  <c r="M295" i="13"/>
  <c r="H295" i="13"/>
  <c r="K295" i="13"/>
  <c r="N295" i="13"/>
  <c r="G295" i="13"/>
  <c r="I295" i="13"/>
  <c r="F295" i="13"/>
  <c r="J295" i="13"/>
  <c r="L295" i="13"/>
  <c r="N302" i="13"/>
  <c r="F302" i="13"/>
  <c r="I302" i="13"/>
  <c r="J302" i="13"/>
  <c r="G302" i="13"/>
  <c r="K302" i="13"/>
  <c r="H302" i="13"/>
  <c r="L302" i="13"/>
  <c r="M302" i="13"/>
  <c r="H309" i="13"/>
  <c r="F309" i="13"/>
  <c r="N309" i="13"/>
  <c r="L309" i="13"/>
  <c r="G309" i="13"/>
  <c r="I309" i="13"/>
  <c r="K309" i="13"/>
  <c r="M309" i="13"/>
  <c r="J309" i="13"/>
  <c r="I316" i="13"/>
  <c r="G316" i="13"/>
  <c r="H316" i="13"/>
  <c r="F316" i="13"/>
  <c r="N316" i="13"/>
  <c r="L316" i="13"/>
  <c r="J316" i="13"/>
  <c r="K316" i="13"/>
  <c r="M316" i="13"/>
  <c r="H323" i="13"/>
  <c r="J323" i="13"/>
  <c r="F323" i="13"/>
  <c r="G323" i="13"/>
  <c r="K323" i="13"/>
  <c r="L323" i="13"/>
  <c r="N323" i="13"/>
  <c r="M323" i="13"/>
  <c r="I323" i="13"/>
  <c r="I330" i="13"/>
  <c r="M330" i="13"/>
  <c r="H330" i="13"/>
  <c r="F330" i="13"/>
  <c r="G330" i="13"/>
  <c r="L330" i="13"/>
  <c r="K330" i="13"/>
  <c r="J330" i="13"/>
  <c r="N330" i="13"/>
  <c r="I337" i="13"/>
  <c r="K337" i="13"/>
  <c r="L337" i="13"/>
  <c r="N337" i="13"/>
  <c r="G337" i="13"/>
  <c r="H337" i="13"/>
  <c r="F337" i="13"/>
  <c r="J337" i="13"/>
  <c r="M337" i="13"/>
  <c r="G344" i="13"/>
  <c r="J344" i="13"/>
  <c r="H344" i="13"/>
  <c r="I344" i="13"/>
  <c r="K344" i="13"/>
  <c r="L344" i="13"/>
  <c r="M344" i="13"/>
  <c r="F344" i="13"/>
  <c r="N344" i="13"/>
  <c r="M351" i="13"/>
  <c r="K351" i="13"/>
  <c r="G351" i="13"/>
  <c r="J351" i="13"/>
  <c r="N351" i="13"/>
  <c r="H351" i="13"/>
  <c r="L351" i="13"/>
  <c r="I351" i="13"/>
  <c r="F351" i="13"/>
  <c r="J358" i="13"/>
  <c r="H358" i="13"/>
  <c r="L358" i="13"/>
  <c r="F358" i="13"/>
  <c r="N358" i="13"/>
  <c r="I358" i="13"/>
  <c r="K358" i="13"/>
  <c r="G358" i="13"/>
  <c r="M358" i="13"/>
  <c r="N365" i="13"/>
  <c r="F365" i="13"/>
  <c r="H365" i="13"/>
  <c r="K365" i="13"/>
  <c r="L365" i="13"/>
  <c r="M365" i="13"/>
  <c r="I365" i="13"/>
  <c r="G365" i="13"/>
  <c r="J365" i="13"/>
  <c r="H372" i="13"/>
  <c r="M372" i="13"/>
  <c r="N372" i="13"/>
  <c r="L372" i="13"/>
  <c r="I372" i="13"/>
  <c r="F372" i="13"/>
  <c r="K372" i="13"/>
  <c r="G372" i="13"/>
  <c r="J372" i="13"/>
  <c r="M379" i="13"/>
  <c r="L379" i="13"/>
  <c r="I379" i="13"/>
  <c r="H379" i="13"/>
  <c r="G379" i="13"/>
  <c r="F379" i="13"/>
  <c r="K379" i="13"/>
  <c r="N379" i="13"/>
  <c r="J379" i="13"/>
  <c r="I386" i="13"/>
  <c r="N386" i="13"/>
  <c r="G386" i="13"/>
  <c r="H386" i="13"/>
  <c r="K386" i="13"/>
  <c r="F386" i="13"/>
  <c r="M386" i="13"/>
  <c r="J386" i="13"/>
  <c r="L386" i="13"/>
  <c r="H393" i="13"/>
  <c r="N393" i="13"/>
  <c r="L393" i="13"/>
  <c r="M393" i="13"/>
  <c r="J393" i="13"/>
  <c r="I393" i="13"/>
  <c r="G393" i="13"/>
  <c r="K393" i="13"/>
  <c r="F393" i="13"/>
  <c r="M400" i="13"/>
  <c r="I400" i="13"/>
  <c r="H400" i="13"/>
  <c r="G400" i="13"/>
  <c r="K400" i="13"/>
  <c r="L400" i="13"/>
  <c r="F400" i="13"/>
  <c r="N400" i="13"/>
  <c r="J400" i="13"/>
  <c r="G109" i="13"/>
  <c r="M109" i="13"/>
  <c r="K109" i="13"/>
  <c r="F109" i="13"/>
  <c r="J109" i="13"/>
  <c r="I109" i="13"/>
  <c r="L109" i="13"/>
  <c r="N109" i="13"/>
  <c r="H109" i="13"/>
  <c r="M214" i="13"/>
  <c r="F214" i="13"/>
  <c r="H214" i="13"/>
  <c r="G214" i="13"/>
  <c r="N214" i="13"/>
  <c r="J214" i="13"/>
  <c r="I214" i="13"/>
  <c r="K214" i="13"/>
  <c r="L214" i="13"/>
  <c r="M375" i="13"/>
  <c r="J375" i="13"/>
  <c r="G375" i="13"/>
  <c r="N375" i="13"/>
  <c r="K375" i="13"/>
  <c r="L375" i="13"/>
  <c r="H375" i="13"/>
  <c r="F375" i="13"/>
  <c r="I375" i="13"/>
  <c r="G35" i="13"/>
  <c r="N35" i="13"/>
  <c r="F35" i="13"/>
  <c r="H35" i="13"/>
  <c r="J35" i="13"/>
  <c r="K35" i="13"/>
  <c r="M35" i="13"/>
  <c r="I35" i="13"/>
  <c r="L35" i="13"/>
  <c r="J84" i="13"/>
  <c r="N84" i="13"/>
  <c r="M84" i="13"/>
  <c r="G84" i="13"/>
  <c r="H84" i="13"/>
  <c r="I84" i="13"/>
  <c r="F84" i="13"/>
  <c r="K84" i="13"/>
  <c r="L84" i="13"/>
  <c r="M53" i="13"/>
  <c r="I53" i="13"/>
  <c r="H53" i="13"/>
  <c r="L53" i="13"/>
  <c r="N53" i="13"/>
  <c r="G53" i="13"/>
  <c r="F53" i="13"/>
  <c r="J53" i="13"/>
  <c r="K53" i="13"/>
  <c r="J151" i="13"/>
  <c r="I151" i="13"/>
  <c r="G151" i="13"/>
  <c r="H151" i="13"/>
  <c r="N151" i="13"/>
  <c r="M151" i="13"/>
  <c r="K151" i="13"/>
  <c r="F151" i="13"/>
  <c r="L151" i="13"/>
  <c r="J242" i="13"/>
  <c r="G242" i="13"/>
  <c r="F242" i="13"/>
  <c r="L242" i="13"/>
  <c r="H242" i="13"/>
  <c r="I242" i="13"/>
  <c r="M242" i="13"/>
  <c r="N242" i="13"/>
  <c r="K242" i="13"/>
  <c r="F354" i="13"/>
  <c r="H354" i="13"/>
  <c r="N354" i="13"/>
  <c r="L354" i="13"/>
  <c r="J354" i="13"/>
  <c r="G354" i="13"/>
  <c r="I354" i="13"/>
  <c r="K354" i="13"/>
  <c r="M354" i="13"/>
  <c r="M7" i="13"/>
  <c r="I7" i="13"/>
  <c r="K7" i="13"/>
  <c r="J7" i="13"/>
  <c r="F7" i="13"/>
  <c r="L7" i="13"/>
  <c r="G7" i="13"/>
  <c r="H7" i="13"/>
  <c r="N7" i="13"/>
  <c r="N49" i="13"/>
  <c r="G49" i="13"/>
  <c r="L49" i="13"/>
  <c r="F49" i="13"/>
  <c r="I49" i="13"/>
  <c r="H49" i="13"/>
  <c r="J49" i="13"/>
  <c r="M49" i="13"/>
  <c r="K49" i="13"/>
  <c r="G91" i="13"/>
  <c r="M91" i="13"/>
  <c r="H91" i="13"/>
  <c r="F91" i="13"/>
  <c r="I91" i="13"/>
  <c r="L91" i="13"/>
  <c r="N91" i="13"/>
  <c r="K91" i="13"/>
  <c r="J91" i="13"/>
  <c r="L8" i="13"/>
  <c r="F8" i="13"/>
  <c r="H8" i="13"/>
  <c r="J8" i="13"/>
  <c r="K8" i="13"/>
  <c r="M8" i="13"/>
  <c r="G8" i="13"/>
  <c r="N8" i="13"/>
  <c r="I8" i="13"/>
  <c r="K16" i="13"/>
  <c r="G16" i="13"/>
  <c r="J16" i="13"/>
  <c r="L16" i="13"/>
  <c r="M16" i="13"/>
  <c r="H16" i="13"/>
  <c r="N16" i="13"/>
  <c r="F16" i="13"/>
  <c r="I16" i="13"/>
  <c r="J79" i="13"/>
  <c r="I79" i="13"/>
  <c r="G79" i="13"/>
  <c r="L79" i="13"/>
  <c r="H79" i="13"/>
  <c r="N79" i="13"/>
  <c r="K79" i="13"/>
  <c r="F79" i="13"/>
  <c r="M79" i="13"/>
  <c r="K121" i="13"/>
  <c r="J121" i="13"/>
  <c r="G121" i="13"/>
  <c r="F121" i="13"/>
  <c r="M121" i="13"/>
  <c r="H121" i="13"/>
  <c r="I121" i="13"/>
  <c r="L121" i="13"/>
  <c r="N121" i="13"/>
  <c r="I149" i="13"/>
  <c r="G149" i="13"/>
  <c r="M149" i="13"/>
  <c r="J149" i="13"/>
  <c r="L149" i="13"/>
  <c r="F149" i="13"/>
  <c r="H149" i="13"/>
  <c r="N149" i="13"/>
  <c r="K149" i="13"/>
  <c r="F163" i="13"/>
  <c r="L163" i="13"/>
  <c r="N163" i="13"/>
  <c r="J163" i="13"/>
  <c r="I163" i="13"/>
  <c r="H163" i="13"/>
  <c r="K163" i="13"/>
  <c r="G163" i="13"/>
  <c r="M163" i="13"/>
  <c r="M170" i="13"/>
  <c r="L170" i="13"/>
  <c r="I170" i="13"/>
  <c r="F170" i="13"/>
  <c r="K170" i="13"/>
  <c r="H170" i="13"/>
  <c r="J170" i="13"/>
  <c r="N170" i="13"/>
  <c r="G170" i="13"/>
  <c r="F177" i="13"/>
  <c r="N177" i="13"/>
  <c r="K177" i="13"/>
  <c r="G177" i="13"/>
  <c r="M177" i="13"/>
  <c r="H177" i="13"/>
  <c r="L177" i="13"/>
  <c r="I177" i="13"/>
  <c r="J177" i="13"/>
  <c r="L191" i="13"/>
  <c r="H191" i="13"/>
  <c r="G191" i="13"/>
  <c r="I191" i="13"/>
  <c r="M191" i="13"/>
  <c r="F191" i="13"/>
  <c r="J191" i="13"/>
  <c r="K191" i="13"/>
  <c r="N191" i="13"/>
  <c r="G198" i="13"/>
  <c r="L198" i="13"/>
  <c r="F198" i="13"/>
  <c r="I198" i="13"/>
  <c r="M198" i="13"/>
  <c r="K198" i="13"/>
  <c r="J198" i="13"/>
  <c r="H198" i="13"/>
  <c r="N198" i="13"/>
  <c r="K205" i="13"/>
  <c r="L205" i="13"/>
  <c r="H205" i="13"/>
  <c r="G205" i="13"/>
  <c r="M205" i="13"/>
  <c r="I205" i="13"/>
  <c r="N205" i="13"/>
  <c r="J205" i="13"/>
  <c r="F205" i="13"/>
  <c r="M212" i="13"/>
  <c r="H212" i="13"/>
  <c r="J212" i="13"/>
  <c r="G212" i="13"/>
  <c r="K212" i="13"/>
  <c r="N212" i="13"/>
  <c r="I212" i="13"/>
  <c r="F212" i="13"/>
  <c r="L212" i="13"/>
  <c r="K219" i="13"/>
  <c r="F219" i="13"/>
  <c r="L219" i="13"/>
  <c r="H219" i="13"/>
  <c r="J219" i="13"/>
  <c r="G219" i="13"/>
  <c r="N219" i="13"/>
  <c r="I219" i="13"/>
  <c r="M219" i="13"/>
  <c r="N226" i="13"/>
  <c r="M226" i="13"/>
  <c r="L226" i="13"/>
  <c r="F226" i="13"/>
  <c r="H226" i="13"/>
  <c r="G226" i="13"/>
  <c r="I226" i="13"/>
  <c r="J226" i="13"/>
  <c r="K226" i="13"/>
  <c r="K233" i="13"/>
  <c r="H233" i="13"/>
  <c r="G233" i="13"/>
  <c r="L233" i="13"/>
  <c r="I233" i="13"/>
  <c r="M233" i="13"/>
  <c r="J233" i="13"/>
  <c r="N233" i="13"/>
  <c r="F233" i="13"/>
  <c r="H240" i="13"/>
  <c r="J240" i="13"/>
  <c r="F240" i="13"/>
  <c r="M240" i="13"/>
  <c r="G240" i="13"/>
  <c r="I240" i="13"/>
  <c r="L240" i="13"/>
  <c r="N240" i="13"/>
  <c r="K240" i="13"/>
  <c r="J247" i="13"/>
  <c r="L247" i="13"/>
  <c r="H247" i="13"/>
  <c r="N247" i="13"/>
  <c r="K247" i="13"/>
  <c r="F247" i="13"/>
  <c r="I247" i="13"/>
  <c r="M247" i="13"/>
  <c r="G247" i="13"/>
  <c r="K254" i="13"/>
  <c r="G254" i="13"/>
  <c r="N254" i="13"/>
  <c r="J254" i="13"/>
  <c r="I254" i="13"/>
  <c r="F254" i="13"/>
  <c r="L254" i="13"/>
  <c r="M254" i="13"/>
  <c r="H254" i="13"/>
  <c r="H261" i="13"/>
  <c r="G261" i="13"/>
  <c r="F261" i="13"/>
  <c r="N261" i="13"/>
  <c r="I261" i="13"/>
  <c r="K261" i="13"/>
  <c r="L261" i="13"/>
  <c r="J261" i="13"/>
  <c r="M261" i="13"/>
  <c r="M268" i="13"/>
  <c r="K268" i="13"/>
  <c r="G268" i="13"/>
  <c r="H268" i="13"/>
  <c r="I268" i="13"/>
  <c r="F268" i="13"/>
  <c r="N268" i="13"/>
  <c r="L268" i="13"/>
  <c r="J268" i="13"/>
  <c r="I275" i="13"/>
  <c r="F275" i="13"/>
  <c r="K275" i="13"/>
  <c r="G275" i="13"/>
  <c r="H275" i="13"/>
  <c r="L275" i="13"/>
  <c r="N275" i="13"/>
  <c r="M275" i="13"/>
  <c r="J275" i="13"/>
  <c r="H282" i="13"/>
  <c r="M282" i="13"/>
  <c r="I282" i="13"/>
  <c r="J282" i="13"/>
  <c r="G282" i="13"/>
  <c r="L282" i="13"/>
  <c r="F282" i="13"/>
  <c r="K282" i="13"/>
  <c r="N282" i="13"/>
  <c r="K289" i="13"/>
  <c r="I289" i="13"/>
  <c r="G289" i="13"/>
  <c r="H289" i="13"/>
  <c r="L289" i="13"/>
  <c r="J289" i="13"/>
  <c r="N289" i="13"/>
  <c r="M289" i="13"/>
  <c r="F289" i="13"/>
  <c r="J296" i="13"/>
  <c r="M296" i="13"/>
  <c r="H296" i="13"/>
  <c r="K296" i="13"/>
  <c r="F296" i="13"/>
  <c r="L296" i="13"/>
  <c r="N296" i="13"/>
  <c r="I296" i="13"/>
  <c r="G296" i="13"/>
  <c r="G303" i="13"/>
  <c r="H303" i="13"/>
  <c r="J303" i="13"/>
  <c r="K303" i="13"/>
  <c r="N303" i="13"/>
  <c r="F303" i="13"/>
  <c r="L303" i="13"/>
  <c r="I303" i="13"/>
  <c r="M303" i="13"/>
  <c r="G310" i="13"/>
  <c r="M310" i="13"/>
  <c r="J310" i="13"/>
  <c r="H310" i="13"/>
  <c r="N310" i="13"/>
  <c r="K310" i="13"/>
  <c r="L310" i="13"/>
  <c r="F310" i="13"/>
  <c r="I310" i="13"/>
  <c r="K317" i="13"/>
  <c r="I317" i="13"/>
  <c r="H317" i="13"/>
  <c r="F317" i="13"/>
  <c r="J317" i="13"/>
  <c r="G317" i="13"/>
  <c r="L317" i="13"/>
  <c r="M317" i="13"/>
  <c r="N317" i="13"/>
  <c r="J324" i="13"/>
  <c r="G324" i="13"/>
  <c r="I324" i="13"/>
  <c r="H324" i="13"/>
  <c r="F324" i="13"/>
  <c r="M324" i="13"/>
  <c r="L324" i="13"/>
  <c r="K324" i="13"/>
  <c r="N324" i="13"/>
  <c r="F331" i="13"/>
  <c r="I331" i="13"/>
  <c r="G331" i="13"/>
  <c r="M331" i="13"/>
  <c r="N331" i="13"/>
  <c r="H331" i="13"/>
  <c r="L331" i="13"/>
  <c r="K331" i="13"/>
  <c r="J331" i="13"/>
  <c r="H338" i="13"/>
  <c r="L338" i="13"/>
  <c r="N338" i="13"/>
  <c r="I338" i="13"/>
  <c r="G338" i="13"/>
  <c r="F338" i="13"/>
  <c r="J338" i="13"/>
  <c r="K338" i="13"/>
  <c r="M338" i="13"/>
  <c r="H345" i="13"/>
  <c r="M345" i="13"/>
  <c r="G345" i="13"/>
  <c r="L345" i="13"/>
  <c r="F345" i="13"/>
  <c r="I345" i="13"/>
  <c r="J345" i="13"/>
  <c r="K345" i="13"/>
  <c r="N345" i="13"/>
  <c r="G352" i="13"/>
  <c r="K352" i="13"/>
  <c r="M352" i="13"/>
  <c r="F352" i="13"/>
  <c r="N352" i="13"/>
  <c r="L352" i="13"/>
  <c r="H352" i="13"/>
  <c r="I352" i="13"/>
  <c r="J352" i="13"/>
  <c r="I359" i="13"/>
  <c r="G359" i="13"/>
  <c r="N359" i="13"/>
  <c r="H359" i="13"/>
  <c r="J359" i="13"/>
  <c r="L359" i="13"/>
  <c r="F359" i="13"/>
  <c r="K359" i="13"/>
  <c r="M359" i="13"/>
  <c r="I366" i="13"/>
  <c r="J366" i="13"/>
  <c r="G366" i="13"/>
  <c r="K366" i="13"/>
  <c r="M366" i="13"/>
  <c r="N366" i="13"/>
  <c r="F366" i="13"/>
  <c r="H366" i="13"/>
  <c r="L366" i="13"/>
  <c r="M373" i="13"/>
  <c r="H373" i="13"/>
  <c r="F373" i="13"/>
  <c r="J373" i="13"/>
  <c r="N373" i="13"/>
  <c r="L373" i="13"/>
  <c r="K373" i="13"/>
  <c r="G373" i="13"/>
  <c r="I373" i="13"/>
  <c r="M380" i="13"/>
  <c r="H380" i="13"/>
  <c r="K380" i="13"/>
  <c r="N380" i="13"/>
  <c r="J380" i="13"/>
  <c r="L380" i="13"/>
  <c r="G380" i="13"/>
  <c r="F380" i="13"/>
  <c r="I380" i="13"/>
  <c r="I387" i="13"/>
  <c r="N387" i="13"/>
  <c r="L387" i="13"/>
  <c r="G387" i="13"/>
  <c r="M387" i="13"/>
  <c r="K387" i="13"/>
  <c r="J387" i="13"/>
  <c r="F387" i="13"/>
  <c r="H387" i="13"/>
  <c r="I394" i="13"/>
  <c r="G394" i="13"/>
  <c r="F394" i="13"/>
  <c r="M394" i="13"/>
  <c r="J394" i="13"/>
  <c r="H394" i="13"/>
  <c r="L394" i="13"/>
  <c r="K394" i="13"/>
  <c r="N394" i="13"/>
  <c r="I32" i="13"/>
  <c r="G32" i="13"/>
  <c r="L32" i="13"/>
  <c r="J32" i="13"/>
  <c r="M32" i="13"/>
  <c r="K32" i="13"/>
  <c r="H32" i="13"/>
  <c r="F32" i="13"/>
  <c r="N32" i="13"/>
  <c r="H60" i="13"/>
  <c r="L60" i="13"/>
  <c r="N60" i="13"/>
  <c r="F60" i="13"/>
  <c r="G60" i="13"/>
  <c r="M60" i="13"/>
  <c r="J60" i="13"/>
  <c r="I60" i="13"/>
  <c r="K60" i="13"/>
  <c r="K95" i="13"/>
  <c r="L95" i="13"/>
  <c r="J95" i="13"/>
  <c r="N95" i="13"/>
  <c r="G95" i="13"/>
  <c r="I95" i="13"/>
  <c r="M95" i="13"/>
  <c r="F95" i="13"/>
  <c r="H95" i="13"/>
  <c r="M130" i="13"/>
  <c r="K130" i="13"/>
  <c r="N130" i="13"/>
  <c r="I130" i="13"/>
  <c r="F130" i="13"/>
  <c r="L130" i="13"/>
  <c r="G130" i="13"/>
  <c r="J130" i="13"/>
  <c r="H130" i="13"/>
  <c r="J172" i="13"/>
  <c r="F172" i="13"/>
  <c r="L172" i="13"/>
  <c r="H172" i="13"/>
  <c r="N172" i="13"/>
  <c r="M172" i="13"/>
  <c r="G172" i="13"/>
  <c r="I172" i="13"/>
  <c r="K172" i="13"/>
  <c r="F200" i="13"/>
  <c r="M200" i="13"/>
  <c r="H200" i="13"/>
  <c r="L200" i="13"/>
  <c r="N200" i="13"/>
  <c r="J200" i="13"/>
  <c r="G200" i="13"/>
  <c r="K200" i="13"/>
  <c r="I200" i="13"/>
  <c r="K228" i="13"/>
  <c r="L228" i="13"/>
  <c r="M228" i="13"/>
  <c r="F228" i="13"/>
  <c r="N228" i="13"/>
  <c r="G228" i="13"/>
  <c r="I228" i="13"/>
  <c r="J228" i="13"/>
  <c r="H228" i="13"/>
  <c r="M270" i="13"/>
  <c r="F270" i="13"/>
  <c r="K270" i="13"/>
  <c r="N270" i="13"/>
  <c r="G270" i="13"/>
  <c r="H270" i="13"/>
  <c r="I270" i="13"/>
  <c r="J270" i="13"/>
  <c r="L270" i="13"/>
  <c r="G298" i="13"/>
  <c r="K298" i="13"/>
  <c r="I298" i="13"/>
  <c r="L298" i="13"/>
  <c r="N298" i="13"/>
  <c r="F298" i="13"/>
  <c r="M298" i="13"/>
  <c r="H298" i="13"/>
  <c r="J298" i="13"/>
  <c r="H326" i="13"/>
  <c r="F326" i="13"/>
  <c r="I326" i="13"/>
  <c r="M326" i="13"/>
  <c r="K326" i="13"/>
  <c r="N326" i="13"/>
  <c r="G326" i="13"/>
  <c r="L326" i="13"/>
  <c r="J326" i="13"/>
  <c r="L396" i="13"/>
  <c r="K396" i="13"/>
  <c r="H396" i="13"/>
  <c r="I396" i="13"/>
  <c r="G396" i="13"/>
  <c r="F396" i="13"/>
  <c r="J396" i="13"/>
  <c r="M396" i="13"/>
  <c r="N396" i="13"/>
  <c r="G14" i="13"/>
  <c r="I14" i="13"/>
  <c r="K14" i="13"/>
  <c r="F14" i="13"/>
  <c r="N14" i="13"/>
  <c r="M14" i="13"/>
  <c r="H14" i="13"/>
  <c r="J14" i="13"/>
  <c r="L14" i="13"/>
  <c r="M28" i="13"/>
  <c r="K28" i="13"/>
  <c r="J28" i="13"/>
  <c r="F28" i="13"/>
  <c r="H28" i="13"/>
  <c r="I28" i="13"/>
  <c r="N28" i="13"/>
  <c r="G28" i="13"/>
  <c r="L28" i="13"/>
  <c r="I42" i="13"/>
  <c r="K42" i="13"/>
  <c r="G42" i="13"/>
  <c r="F42" i="13"/>
  <c r="H42" i="13"/>
  <c r="M42" i="13"/>
  <c r="L42" i="13"/>
  <c r="J42" i="13"/>
  <c r="N42" i="13"/>
  <c r="M63" i="13"/>
  <c r="F63" i="13"/>
  <c r="K63" i="13"/>
  <c r="I63" i="13"/>
  <c r="J63" i="13"/>
  <c r="L63" i="13"/>
  <c r="G63" i="13"/>
  <c r="H63" i="13"/>
  <c r="N63" i="13"/>
  <c r="M112" i="13"/>
  <c r="J112" i="13"/>
  <c r="L112" i="13"/>
  <c r="F112" i="13"/>
  <c r="G112" i="13"/>
  <c r="K112" i="13"/>
  <c r="N112" i="13"/>
  <c r="H112" i="13"/>
  <c r="I112" i="13"/>
  <c r="F22" i="13"/>
  <c r="H22" i="13"/>
  <c r="J22" i="13"/>
  <c r="K22" i="13"/>
  <c r="N22" i="13"/>
  <c r="G22" i="13"/>
  <c r="L22" i="13"/>
  <c r="M22" i="13"/>
  <c r="I22" i="13"/>
  <c r="J9" i="13"/>
  <c r="L9" i="13"/>
  <c r="N9" i="13"/>
  <c r="G9" i="13"/>
  <c r="H9" i="13"/>
  <c r="F9" i="13"/>
  <c r="I9" i="13"/>
  <c r="K9" i="13"/>
  <c r="M9" i="13"/>
  <c r="K23" i="13"/>
  <c r="H23" i="13"/>
  <c r="F23" i="13"/>
  <c r="M23" i="13"/>
  <c r="J23" i="13"/>
  <c r="L23" i="13"/>
  <c r="N23" i="13"/>
  <c r="I23" i="13"/>
  <c r="G23" i="13"/>
  <c r="G30" i="13"/>
  <c r="M30" i="13"/>
  <c r="H30" i="13"/>
  <c r="L30" i="13"/>
  <c r="F30" i="13"/>
  <c r="N30" i="13"/>
  <c r="I30" i="13"/>
  <c r="K30" i="13"/>
  <c r="J30" i="13"/>
  <c r="K37" i="13"/>
  <c r="M37" i="13"/>
  <c r="H37" i="13"/>
  <c r="J37" i="13"/>
  <c r="L37" i="13"/>
  <c r="I37" i="13"/>
  <c r="N37" i="13"/>
  <c r="F37" i="13"/>
  <c r="G37" i="13"/>
  <c r="G44" i="13"/>
  <c r="K44" i="13"/>
  <c r="N44" i="13"/>
  <c r="I44" i="13"/>
  <c r="J44" i="13"/>
  <c r="M44" i="13"/>
  <c r="L44" i="13"/>
  <c r="F44" i="13"/>
  <c r="H44" i="13"/>
  <c r="M51" i="13"/>
  <c r="I51" i="13"/>
  <c r="G51" i="13"/>
  <c r="H51" i="13"/>
  <c r="N51" i="13"/>
  <c r="J51" i="13"/>
  <c r="K51" i="13"/>
  <c r="L51" i="13"/>
  <c r="F51" i="13"/>
  <c r="G58" i="13"/>
  <c r="M58" i="13"/>
  <c r="H58" i="13"/>
  <c r="J58" i="13"/>
  <c r="I58" i="13"/>
  <c r="K58" i="13"/>
  <c r="F58" i="13"/>
  <c r="L58" i="13"/>
  <c r="N58" i="13"/>
  <c r="L65" i="13"/>
  <c r="K65" i="13"/>
  <c r="G65" i="13"/>
  <c r="N65" i="13"/>
  <c r="M65" i="13"/>
  <c r="I65" i="13"/>
  <c r="H65" i="13"/>
  <c r="F65" i="13"/>
  <c r="J65" i="13"/>
  <c r="G72" i="13"/>
  <c r="I72" i="13"/>
  <c r="L72" i="13"/>
  <c r="K72" i="13"/>
  <c r="F72" i="13"/>
  <c r="J72" i="13"/>
  <c r="M72" i="13"/>
  <c r="N72" i="13"/>
  <c r="H72" i="13"/>
  <c r="F86" i="13"/>
  <c r="K86" i="13"/>
  <c r="M86" i="13"/>
  <c r="I86" i="13"/>
  <c r="J86" i="13"/>
  <c r="L86" i="13"/>
  <c r="N86" i="13"/>
  <c r="G86" i="13"/>
  <c r="H86" i="13"/>
  <c r="K93" i="13"/>
  <c r="M93" i="13"/>
  <c r="F93" i="13"/>
  <c r="H93" i="13"/>
  <c r="G93" i="13"/>
  <c r="J93" i="13"/>
  <c r="L93" i="13"/>
  <c r="N93" i="13"/>
  <c r="I93" i="13"/>
  <c r="G100" i="13"/>
  <c r="K100" i="13"/>
  <c r="I100" i="13"/>
  <c r="F100" i="13"/>
  <c r="H100" i="13"/>
  <c r="J100" i="13"/>
  <c r="N100" i="13"/>
  <c r="L100" i="13"/>
  <c r="M100" i="13"/>
  <c r="K107" i="13"/>
  <c r="M107" i="13"/>
  <c r="L107" i="13"/>
  <c r="F107" i="13"/>
  <c r="I107" i="13"/>
  <c r="N107" i="13"/>
  <c r="J107" i="13"/>
  <c r="G107" i="13"/>
  <c r="H107" i="13"/>
  <c r="I114" i="13"/>
  <c r="H114" i="13"/>
  <c r="G114" i="13"/>
  <c r="M114" i="13"/>
  <c r="F114" i="13"/>
  <c r="K114" i="13"/>
  <c r="L114" i="13"/>
  <c r="J114" i="13"/>
  <c r="N114" i="13"/>
  <c r="F128" i="13"/>
  <c r="J128" i="13"/>
  <c r="K128" i="13"/>
  <c r="H128" i="13"/>
  <c r="G128" i="13"/>
  <c r="I128" i="13"/>
  <c r="L128" i="13"/>
  <c r="M128" i="13"/>
  <c r="N128" i="13"/>
  <c r="G135" i="13"/>
  <c r="K135" i="13"/>
  <c r="M135" i="13"/>
  <c r="I135" i="13"/>
  <c r="J135" i="13"/>
  <c r="N135" i="13"/>
  <c r="F135" i="13"/>
  <c r="H135" i="13"/>
  <c r="L135" i="13"/>
  <c r="J142" i="13"/>
  <c r="K142" i="13"/>
  <c r="M142" i="13"/>
  <c r="N142" i="13"/>
  <c r="F142" i="13"/>
  <c r="H142" i="13"/>
  <c r="L142" i="13"/>
  <c r="I142" i="13"/>
  <c r="G142" i="13"/>
  <c r="M156" i="13"/>
  <c r="L156" i="13"/>
  <c r="F156" i="13"/>
  <c r="H156" i="13"/>
  <c r="I156" i="13"/>
  <c r="J156" i="13"/>
  <c r="N156" i="13"/>
  <c r="G156" i="13"/>
  <c r="K156" i="13"/>
  <c r="M184" i="13"/>
  <c r="G184" i="13"/>
  <c r="K184" i="13"/>
  <c r="H184" i="13"/>
  <c r="L184" i="13"/>
  <c r="N184" i="13"/>
  <c r="I184" i="13"/>
  <c r="F184" i="13"/>
  <c r="J184" i="13"/>
  <c r="E393" i="13"/>
  <c r="E387" i="13"/>
  <c r="E256" i="17"/>
  <c r="E268" i="17"/>
  <c r="E280" i="17"/>
  <c r="E292" i="17"/>
  <c r="E304" i="17"/>
  <c r="E316" i="17"/>
  <c r="E328" i="17"/>
  <c r="E340" i="17"/>
  <c r="E352" i="17"/>
  <c r="E364" i="17"/>
  <c r="E376" i="17"/>
  <c r="E388" i="17"/>
  <c r="E400" i="17"/>
  <c r="E257" i="17"/>
  <c r="E269" i="17"/>
  <c r="E281" i="17"/>
  <c r="E293" i="17"/>
  <c r="E305" i="17"/>
  <c r="E317" i="17"/>
  <c r="E329" i="17"/>
  <c r="E341" i="17"/>
  <c r="E353" i="17"/>
  <c r="E365" i="17"/>
  <c r="E377" i="17"/>
  <c r="E389" i="17"/>
  <c r="E401" i="17"/>
  <c r="E250" i="17"/>
  <c r="E262" i="17"/>
  <c r="E274" i="17"/>
  <c r="E286" i="17"/>
  <c r="E298" i="17"/>
  <c r="E310" i="17"/>
  <c r="E322" i="17"/>
  <c r="E334" i="17"/>
  <c r="E346" i="17"/>
  <c r="E358" i="17"/>
  <c r="E370" i="17"/>
  <c r="E382" i="17"/>
  <c r="E394" i="17"/>
  <c r="E251" i="17"/>
  <c r="E263" i="17"/>
  <c r="E275" i="17"/>
  <c r="E287" i="17"/>
  <c r="E299" i="17"/>
  <c r="E311" i="17"/>
  <c r="E323" i="17"/>
  <c r="E335" i="17"/>
  <c r="E347" i="17"/>
  <c r="E359" i="17"/>
  <c r="E371" i="17"/>
  <c r="E383" i="17"/>
  <c r="E394" i="13"/>
  <c r="E399" i="13"/>
  <c r="E254" i="17"/>
  <c r="E266" i="17"/>
  <c r="E278" i="17"/>
  <c r="E290" i="17"/>
  <c r="E302" i="17"/>
  <c r="E314" i="17"/>
  <c r="E326" i="17"/>
  <c r="E338" i="17"/>
  <c r="E350" i="17"/>
  <c r="E362" i="17"/>
  <c r="E374" i="17"/>
  <c r="E386" i="17"/>
  <c r="E398" i="17"/>
  <c r="E249" i="17"/>
  <c r="E267" i="17"/>
  <c r="E285" i="17"/>
  <c r="E303" i="17"/>
  <c r="E321" i="17"/>
  <c r="E327" i="17"/>
  <c r="E339" i="17"/>
  <c r="E345" i="17"/>
  <c r="E351" i="17"/>
  <c r="E357" i="17"/>
  <c r="E363" i="17"/>
  <c r="E369" i="17"/>
  <c r="E375" i="17"/>
  <c r="E381" i="17"/>
  <c r="E393" i="17"/>
  <c r="E255" i="17"/>
  <c r="E261" i="17"/>
  <c r="E273" i="17"/>
  <c r="E279" i="17"/>
  <c r="E291" i="17"/>
  <c r="E297" i="17"/>
  <c r="E309" i="17"/>
  <c r="E315" i="17"/>
  <c r="E333" i="17"/>
  <c r="E387" i="17"/>
  <c r="E395" i="17"/>
  <c r="E186" i="13"/>
  <c r="E190" i="13"/>
  <c r="E262" i="13"/>
  <c r="E346" i="13"/>
  <c r="E358" i="13"/>
  <c r="E362" i="13"/>
  <c r="E382" i="13"/>
  <c r="E151" i="13"/>
  <c r="E187" i="13"/>
  <c r="E279" i="13"/>
  <c r="E291" i="13"/>
  <c r="E303" i="13"/>
  <c r="E180" i="13"/>
  <c r="E340" i="13"/>
  <c r="E376" i="13"/>
  <c r="E273" i="13"/>
  <c r="E285" i="13"/>
  <c r="E309" i="13"/>
  <c r="E276" i="17"/>
  <c r="E318" i="17"/>
  <c r="E354" i="17"/>
  <c r="E396" i="17"/>
  <c r="E271" i="17"/>
  <c r="E307" i="17"/>
  <c r="E343" i="17"/>
  <c r="E391" i="17"/>
  <c r="E248" i="17"/>
  <c r="E260" i="17"/>
  <c r="E272" i="17"/>
  <c r="E284" i="17"/>
  <c r="E296" i="17"/>
  <c r="E308" i="17"/>
  <c r="E320" i="17"/>
  <c r="E332" i="17"/>
  <c r="E344" i="17"/>
  <c r="E356" i="17"/>
  <c r="E368" i="17"/>
  <c r="E380" i="17"/>
  <c r="E392" i="17"/>
  <c r="E288" i="17"/>
  <c r="E330" i="17"/>
  <c r="E366" i="17"/>
  <c r="E277" i="17"/>
  <c r="E301" i="17"/>
  <c r="E337" i="17"/>
  <c r="E379" i="17"/>
  <c r="E270" i="17"/>
  <c r="E312" i="17"/>
  <c r="E360" i="17"/>
  <c r="E283" i="17"/>
  <c r="E325" i="17"/>
  <c r="E361" i="17"/>
  <c r="E252" i="17"/>
  <c r="E300" i="17"/>
  <c r="E342" i="17"/>
  <c r="E384" i="17"/>
  <c r="E259" i="17"/>
  <c r="E313" i="17"/>
  <c r="E355" i="17"/>
  <c r="E397" i="17"/>
  <c r="E399" i="17"/>
  <c r="E258" i="17"/>
  <c r="E294" i="17"/>
  <c r="E336" i="17"/>
  <c r="E378" i="17"/>
  <c r="E253" i="17"/>
  <c r="E295" i="17"/>
  <c r="E349" i="17"/>
  <c r="E385" i="17"/>
  <c r="E264" i="17"/>
  <c r="E306" i="17"/>
  <c r="E348" i="17"/>
  <c r="E390" i="17"/>
  <c r="E289" i="17"/>
  <c r="E331" i="17"/>
  <c r="E373" i="17"/>
  <c r="E282" i="17"/>
  <c r="E324" i="17"/>
  <c r="E372" i="17"/>
  <c r="E265" i="17"/>
  <c r="E319" i="17"/>
  <c r="E367" i="17"/>
  <c r="E374" i="13"/>
  <c r="E339" i="13"/>
  <c r="E345" i="13"/>
  <c r="E140" i="13"/>
  <c r="E338" i="13"/>
  <c r="E350" i="13"/>
  <c r="E152" i="13"/>
  <c r="E154" i="13"/>
  <c r="E160" i="13"/>
  <c r="E166" i="13"/>
  <c r="E178" i="13"/>
  <c r="E42" i="13"/>
  <c r="E48" i="13"/>
  <c r="E54" i="13"/>
  <c r="E60" i="13"/>
  <c r="E66" i="13"/>
  <c r="E72" i="13"/>
  <c r="E78" i="13"/>
  <c r="E84" i="13"/>
  <c r="E90" i="13"/>
  <c r="E96" i="13"/>
  <c r="E102" i="13"/>
  <c r="E108" i="13"/>
  <c r="E114" i="13"/>
  <c r="E120" i="13"/>
  <c r="E126" i="13"/>
  <c r="E263" i="13"/>
  <c r="E275" i="13"/>
  <c r="E287" i="13"/>
  <c r="E299" i="13"/>
  <c r="E311" i="13"/>
  <c r="E323" i="13"/>
  <c r="E191" i="13"/>
  <c r="E359" i="13"/>
  <c r="E390" i="13"/>
  <c r="E146" i="13"/>
  <c r="E182" i="13"/>
  <c r="E295" i="13"/>
  <c r="E307" i="13"/>
  <c r="E147" i="13"/>
  <c r="E254" i="13"/>
  <c r="E391" i="13"/>
  <c r="E158" i="13"/>
  <c r="E271" i="13"/>
  <c r="E170" i="13"/>
  <c r="E319" i="13"/>
  <c r="E132" i="13"/>
  <c r="E138" i="13"/>
  <c r="E274" i="13"/>
  <c r="E280" i="13"/>
  <c r="E286" i="13"/>
  <c r="E298" i="13"/>
  <c r="E310" i="13"/>
  <c r="E322" i="13"/>
  <c r="E334" i="13"/>
  <c r="E370" i="13"/>
  <c r="E203" i="13"/>
  <c r="E209" i="13"/>
  <c r="E215" i="13"/>
  <c r="E198" i="13"/>
  <c r="E329" i="13"/>
  <c r="E371" i="13"/>
  <c r="E383" i="13"/>
  <c r="E128" i="13"/>
  <c r="E247" i="13"/>
  <c r="E378" i="13"/>
  <c r="E13" i="13"/>
  <c r="E37" i="13"/>
  <c r="E67" i="13"/>
  <c r="E79" i="13"/>
  <c r="E103" i="13"/>
  <c r="E150" i="13"/>
  <c r="E179" i="13"/>
  <c r="E343" i="13"/>
  <c r="E127" i="13"/>
  <c r="E139" i="13"/>
  <c r="E208" i="13"/>
  <c r="E231" i="13"/>
  <c r="E243" i="13"/>
  <c r="E249" i="13"/>
  <c r="E355" i="13"/>
  <c r="E25" i="13"/>
  <c r="E55" i="13"/>
  <c r="E91" i="13"/>
  <c r="E278" i="13"/>
  <c r="E8" i="13"/>
  <c r="E14" i="13"/>
  <c r="E20" i="13"/>
  <c r="E26" i="13"/>
  <c r="E32" i="13"/>
  <c r="E214" i="13"/>
  <c r="E31" i="13"/>
  <c r="E43" i="13"/>
  <c r="E61" i="13"/>
  <c r="E85" i="13"/>
  <c r="E109" i="13"/>
  <c r="E167" i="13"/>
  <c r="E290" i="13"/>
  <c r="E314" i="13"/>
  <c r="E220" i="13"/>
  <c r="E226" i="13"/>
  <c r="E232" i="13"/>
  <c r="E238" i="13"/>
  <c r="E250" i="13"/>
  <c r="E327" i="13"/>
  <c r="E333" i="13"/>
  <c r="E395" i="13"/>
  <c r="E19" i="13"/>
  <c r="E73" i="13"/>
  <c r="E7" i="13"/>
  <c r="E204" i="13"/>
  <c r="E210" i="13"/>
  <c r="E227" i="13"/>
  <c r="E239" i="13"/>
  <c r="E251" i="13"/>
  <c r="E328" i="13"/>
  <c r="E49" i="13"/>
  <c r="E97" i="13"/>
  <c r="E11" i="13"/>
  <c r="E17" i="13"/>
  <c r="E23" i="13"/>
  <c r="E29" i="13"/>
  <c r="E35" i="13"/>
  <c r="E41" i="13"/>
  <c r="E47" i="13"/>
  <c r="E53" i="13"/>
  <c r="E59" i="13"/>
  <c r="E65" i="13"/>
  <c r="E71" i="13"/>
  <c r="E77" i="13"/>
  <c r="E83" i="13"/>
  <c r="E89" i="13"/>
  <c r="E95" i="13"/>
  <c r="E101" i="13"/>
  <c r="E107" i="13"/>
  <c r="E113" i="13"/>
  <c r="E119" i="13"/>
  <c r="E125" i="13"/>
  <c r="E159" i="13"/>
  <c r="E165" i="13"/>
  <c r="E171" i="13"/>
  <c r="E177" i="13"/>
  <c r="E318" i="13"/>
  <c r="E335" i="13"/>
  <c r="E347" i="13"/>
  <c r="E386" i="13"/>
  <c r="E131" i="13"/>
  <c r="E137" i="13"/>
  <c r="E342" i="13"/>
  <c r="E375" i="13"/>
  <c r="E381" i="13"/>
  <c r="E398" i="13"/>
  <c r="E6" i="13"/>
  <c r="E12" i="13"/>
  <c r="E18" i="13"/>
  <c r="E24" i="13"/>
  <c r="E30" i="13"/>
  <c r="E36" i="13"/>
  <c r="E51" i="13"/>
  <c r="E93" i="13"/>
  <c r="E276" i="13"/>
  <c r="E379" i="13"/>
  <c r="E211" i="13"/>
  <c r="E266" i="13"/>
  <c r="E57" i="13"/>
  <c r="E117" i="13"/>
  <c r="E189" i="13"/>
  <c r="E255" i="13"/>
  <c r="E363" i="13"/>
  <c r="E10" i="13"/>
  <c r="E28" i="13"/>
  <c r="E40" i="13"/>
  <c r="E52" i="13"/>
  <c r="E58" i="13"/>
  <c r="E64" i="13"/>
  <c r="E70" i="13"/>
  <c r="E82" i="13"/>
  <c r="E88" i="13"/>
  <c r="E94" i="13"/>
  <c r="E100" i="13"/>
  <c r="E106" i="13"/>
  <c r="E112" i="13"/>
  <c r="E118" i="13"/>
  <c r="E124" i="13"/>
  <c r="E156" i="13"/>
  <c r="E223" i="13"/>
  <c r="E283" i="13"/>
  <c r="E294" i="13"/>
  <c r="E321" i="13"/>
  <c r="E326" i="13"/>
  <c r="E33" i="13"/>
  <c r="E81" i="13"/>
  <c r="E105" i="13"/>
  <c r="E222" i="13"/>
  <c r="E244" i="13"/>
  <c r="E16" i="13"/>
  <c r="E22" i="13"/>
  <c r="E34" i="13"/>
  <c r="E46" i="13"/>
  <c r="E76" i="13"/>
  <c r="E135" i="13"/>
  <c r="E162" i="13"/>
  <c r="E184" i="13"/>
  <c r="E195" i="13"/>
  <c r="E201" i="13"/>
  <c r="E206" i="13"/>
  <c r="E228" i="13"/>
  <c r="E234" i="13"/>
  <c r="E256" i="13"/>
  <c r="E267" i="13"/>
  <c r="E305" i="13"/>
  <c r="E316" i="13"/>
  <c r="E348" i="13"/>
  <c r="E354" i="13"/>
  <c r="E364" i="13"/>
  <c r="E130" i="13"/>
  <c r="E21" i="13"/>
  <c r="E45" i="13"/>
  <c r="E87" i="13"/>
  <c r="E144" i="13"/>
  <c r="E352" i="13"/>
  <c r="E172" i="13"/>
  <c r="E369" i="13"/>
  <c r="E400" i="13"/>
  <c r="E136" i="13"/>
  <c r="E163" i="13"/>
  <c r="E174" i="13"/>
  <c r="E185" i="13"/>
  <c r="E196" i="13"/>
  <c r="E207" i="13"/>
  <c r="E213" i="13"/>
  <c r="E218" i="13"/>
  <c r="E235" i="13"/>
  <c r="E246" i="13"/>
  <c r="E257" i="13"/>
  <c r="E268" i="13"/>
  <c r="E300" i="13"/>
  <c r="E306" i="13"/>
  <c r="E27" i="13"/>
  <c r="E99" i="13"/>
  <c r="E161" i="13"/>
  <c r="E315" i="13"/>
  <c r="E175" i="13"/>
  <c r="E202" i="13"/>
  <c r="E366" i="13"/>
  <c r="E39" i="13"/>
  <c r="E111" i="13"/>
  <c r="E331" i="13"/>
  <c r="E155" i="13"/>
  <c r="E261" i="13"/>
  <c r="E219" i="13"/>
  <c r="E225" i="13"/>
  <c r="E230" i="13"/>
  <c r="E252" i="13"/>
  <c r="E258" i="13"/>
  <c r="E9" i="13"/>
  <c r="E69" i="13"/>
  <c r="E282" i="13"/>
  <c r="E134" i="13"/>
  <c r="E183" i="13"/>
  <c r="E233" i="13"/>
  <c r="E115" i="13"/>
  <c r="E121" i="13"/>
  <c r="E142" i="13"/>
  <c r="E148" i="13"/>
  <c r="E15" i="13"/>
  <c r="E75" i="13"/>
  <c r="E194" i="13"/>
  <c r="E304" i="13"/>
  <c r="E143" i="13"/>
  <c r="E237" i="13"/>
  <c r="E242" i="13"/>
  <c r="E259" i="13"/>
  <c r="E270" i="13"/>
  <c r="E297" i="13"/>
  <c r="E302" i="13"/>
  <c r="E367" i="13"/>
  <c r="E388" i="13"/>
  <c r="E63" i="13"/>
  <c r="E123" i="13"/>
  <c r="E38" i="13"/>
  <c r="E44" i="13"/>
  <c r="E50" i="13"/>
  <c r="E56" i="13"/>
  <c r="E62" i="13"/>
  <c r="E68" i="13"/>
  <c r="E74" i="13"/>
  <c r="E80" i="13"/>
  <c r="E86" i="13"/>
  <c r="E92" i="13"/>
  <c r="E98" i="13"/>
  <c r="E104" i="13"/>
  <c r="E110" i="13"/>
  <c r="E116" i="13"/>
  <c r="E122" i="13"/>
  <c r="E149" i="13"/>
  <c r="E199" i="13"/>
  <c r="E281" i="13"/>
  <c r="E292" i="13"/>
  <c r="E324" i="13"/>
  <c r="E330" i="13"/>
  <c r="E351" i="13"/>
  <c r="E357" i="13"/>
  <c r="E133" i="13"/>
  <c r="E164" i="13"/>
  <c r="E169" i="13"/>
  <c r="E188" i="13"/>
  <c r="E193" i="13"/>
  <c r="E212" i="13"/>
  <c r="E217" i="13"/>
  <c r="E236" i="13"/>
  <c r="E241" i="13"/>
  <c r="E260" i="13"/>
  <c r="E265" i="13"/>
  <c r="E284" i="13"/>
  <c r="E289" i="13"/>
  <c r="E308" i="13"/>
  <c r="E313" i="13"/>
  <c r="E332" i="13"/>
  <c r="E337" i="13"/>
  <c r="E356" i="13"/>
  <c r="E361" i="13"/>
  <c r="E380" i="13"/>
  <c r="E385" i="13"/>
  <c r="E129" i="13"/>
  <c r="E353" i="13"/>
  <c r="E372" i="13"/>
  <c r="E377" i="13"/>
  <c r="E396" i="13"/>
  <c r="E157" i="13"/>
  <c r="E176" i="13"/>
  <c r="E181" i="13"/>
  <c r="E200" i="13"/>
  <c r="E205" i="13"/>
  <c r="E224" i="13"/>
  <c r="E229" i="13"/>
  <c r="E248" i="13"/>
  <c r="E253" i="13"/>
  <c r="E272" i="13"/>
  <c r="E277" i="13"/>
  <c r="E296" i="13"/>
  <c r="E301" i="13"/>
  <c r="E320" i="13"/>
  <c r="E325" i="13"/>
  <c r="E344" i="13"/>
  <c r="E349" i="13"/>
  <c r="E368" i="13"/>
  <c r="E373" i="13"/>
  <c r="E392" i="13"/>
  <c r="E397" i="13"/>
  <c r="E153" i="13"/>
  <c r="E145" i="13"/>
  <c r="E141" i="13"/>
  <c r="E168" i="13"/>
  <c r="E173" i="13"/>
  <c r="E192" i="13"/>
  <c r="E197" i="13"/>
  <c r="E216" i="13"/>
  <c r="E221" i="13"/>
  <c r="E240" i="13"/>
  <c r="E245" i="13"/>
  <c r="E264" i="13"/>
  <c r="E269" i="13"/>
  <c r="E288" i="13"/>
  <c r="E293" i="13"/>
  <c r="E312" i="13"/>
  <c r="E317" i="13"/>
  <c r="E336" i="13"/>
  <c r="E341" i="13"/>
  <c r="E360" i="13"/>
  <c r="E365" i="13"/>
  <c r="E384" i="13"/>
  <c r="E389" i="13"/>
  <c r="Q40" i="13" l="1"/>
  <c r="Q225" i="13"/>
  <c r="Q111" i="13"/>
  <c r="Q99" i="13"/>
  <c r="Q126" i="13"/>
  <c r="Q127" i="13"/>
  <c r="Q170" i="13"/>
  <c r="P400" i="13"/>
  <c r="P398" i="13"/>
  <c r="Q400" i="13"/>
  <c r="Q399" i="13"/>
  <c r="P399" i="13"/>
  <c r="Q172" i="13"/>
  <c r="Q147" i="13"/>
  <c r="Q36" i="13"/>
  <c r="Q66" i="13"/>
  <c r="Q44" i="13"/>
  <c r="Q60" i="13"/>
  <c r="Q364" i="13"/>
  <c r="Q140" i="13"/>
  <c r="Q360" i="13"/>
  <c r="Q226" i="13"/>
  <c r="Q180" i="13"/>
  <c r="Q217" i="13"/>
  <c r="Q189" i="13"/>
  <c r="Q95" i="13"/>
  <c r="Q129" i="13"/>
  <c r="Q242" i="13"/>
  <c r="Q175" i="13"/>
  <c r="Q157" i="13"/>
  <c r="Q179" i="13"/>
  <c r="Q184" i="13"/>
  <c r="Q94" i="13"/>
  <c r="Q87" i="13"/>
  <c r="Q212" i="13"/>
  <c r="Q204" i="13"/>
  <c r="Q84" i="13"/>
  <c r="Q133" i="13"/>
  <c r="Q203" i="13"/>
  <c r="Q130" i="13"/>
  <c r="Q236" i="13"/>
  <c r="Q112" i="13"/>
  <c r="Q101" i="13"/>
  <c r="Q272" i="13"/>
  <c r="Q369" i="13"/>
  <c r="Q220" i="13"/>
  <c r="Q228" i="13"/>
  <c r="Q274" i="13"/>
  <c r="Q216" i="13"/>
  <c r="Q118" i="13"/>
  <c r="Q125" i="13"/>
  <c r="Q318" i="13"/>
  <c r="Q88" i="13"/>
  <c r="Q358" i="13"/>
  <c r="Q241" i="13"/>
  <c r="Q356" i="13"/>
  <c r="Q114" i="13"/>
  <c r="Q197" i="13"/>
  <c r="Q164" i="13"/>
  <c r="Q194" i="13"/>
  <c r="Q57" i="13"/>
  <c r="Q201" i="13"/>
  <c r="Q377" i="13"/>
  <c r="Q177" i="13"/>
  <c r="Q28" i="13"/>
  <c r="Q82" i="13"/>
  <c r="Q190" i="13"/>
  <c r="Q258" i="13"/>
  <c r="Q232" i="13"/>
  <c r="Q349" i="13"/>
  <c r="Q202" i="13"/>
  <c r="Q206" i="13"/>
  <c r="Q346" i="13"/>
  <c r="Q376" i="13"/>
  <c r="Q20" i="13"/>
  <c r="Q148" i="13"/>
  <c r="Q259" i="13"/>
  <c r="Q243" i="13"/>
  <c r="Q154" i="13"/>
  <c r="Q187" i="13"/>
  <c r="Q102" i="13"/>
  <c r="Q135" i="13"/>
  <c r="Q374" i="13"/>
  <c r="Q296" i="13"/>
  <c r="Q341" i="13"/>
  <c r="Q276" i="13"/>
  <c r="Q85" i="13"/>
  <c r="Q174" i="13"/>
  <c r="Q249" i="13"/>
  <c r="Q80" i="13"/>
  <c r="Q77" i="13"/>
  <c r="Q158" i="13"/>
  <c r="Q132" i="13"/>
  <c r="Q128" i="13"/>
  <c r="Q325" i="13"/>
  <c r="Q62" i="13"/>
  <c r="Q52" i="13"/>
  <c r="Q12" i="13"/>
  <c r="Q149" i="13"/>
  <c r="Q230" i="13"/>
  <c r="Q244" i="13"/>
  <c r="Q64" i="13"/>
  <c r="Q55" i="13"/>
  <c r="Q252" i="13"/>
  <c r="Q165" i="13"/>
  <c r="Q63" i="13"/>
  <c r="Q93" i="13"/>
  <c r="Q375" i="13"/>
  <c r="Q109" i="13"/>
  <c r="Q218" i="13"/>
  <c r="Q100" i="13"/>
  <c r="Q308" i="13"/>
  <c r="Q298" i="13"/>
  <c r="Q309" i="13"/>
  <c r="Q283" i="13"/>
  <c r="Q91" i="13"/>
  <c r="Q32" i="13"/>
  <c r="Q75" i="13"/>
  <c r="Q24" i="13"/>
  <c r="Q79" i="13"/>
  <c r="Q311" i="13"/>
  <c r="Q105" i="13"/>
  <c r="Q48" i="13"/>
  <c r="Q8" i="13"/>
  <c r="Q116" i="13"/>
  <c r="Q134" i="13"/>
  <c r="Q142" i="13"/>
  <c r="Q208" i="13"/>
  <c r="Q169" i="13"/>
  <c r="Q120" i="13"/>
  <c r="Q357" i="13"/>
  <c r="Q234" i="13"/>
  <c r="Q221" i="13"/>
  <c r="Q199" i="13"/>
  <c r="Q233" i="13"/>
  <c r="Q92" i="13"/>
  <c r="Q81" i="13"/>
  <c r="Q362" i="13"/>
  <c r="Q255" i="13"/>
  <c r="Q182" i="13"/>
  <c r="Q53" i="13"/>
  <c r="Q37" i="13"/>
  <c r="Q131" i="13"/>
  <c r="Q50" i="13"/>
  <c r="Q34" i="13"/>
  <c r="Q119" i="13"/>
  <c r="Q162" i="13"/>
  <c r="Q43" i="13"/>
  <c r="Q330" i="13"/>
  <c r="Q282" i="13"/>
  <c r="Q363" i="13"/>
  <c r="Q303" i="13"/>
  <c r="Q273" i="13"/>
  <c r="Q173" i="13"/>
  <c r="Q359" i="13"/>
  <c r="Q210" i="13"/>
  <c r="Q171" i="13"/>
  <c r="Q200" i="13"/>
  <c r="Q237" i="13"/>
  <c r="Q121" i="13"/>
  <c r="Q141" i="13"/>
  <c r="Q229" i="13"/>
  <c r="Q213" i="13"/>
  <c r="Q113" i="13"/>
  <c r="Q223" i="13"/>
  <c r="Q117" i="13"/>
  <c r="Q69" i="13"/>
  <c r="Q365" i="13"/>
  <c r="Q263" i="13"/>
  <c r="Q287" i="13"/>
  <c r="Q281" i="13"/>
  <c r="Q316" i="13"/>
  <c r="Q262" i="13"/>
  <c r="Q327" i="13"/>
  <c r="Q279" i="13"/>
  <c r="Q160" i="13"/>
  <c r="Q67" i="13"/>
  <c r="Q17" i="13"/>
  <c r="Q39" i="13"/>
  <c r="Q59" i="13"/>
  <c r="Q245" i="13"/>
  <c r="Q156" i="13"/>
  <c r="Q47" i="13"/>
  <c r="Q381" i="13"/>
  <c r="Q383" i="13"/>
  <c r="Q380" i="13"/>
  <c r="Q368" i="13"/>
  <c r="Q350" i="13"/>
  <c r="Q302" i="13"/>
  <c r="Q319" i="13"/>
  <c r="Q371" i="13"/>
  <c r="Q293" i="13"/>
  <c r="Q257" i="13"/>
  <c r="Q324" i="13"/>
  <c r="Q264" i="13"/>
  <c r="Q389" i="13"/>
  <c r="Q382" i="13"/>
  <c r="Q340" i="13"/>
  <c r="Q292" i="13"/>
  <c r="Q301" i="13"/>
  <c r="Q122" i="13"/>
  <c r="Q351" i="13"/>
  <c r="Q355" i="13"/>
  <c r="Q193" i="13"/>
  <c r="Q198" i="13"/>
  <c r="Q205" i="13"/>
  <c r="Q103" i="13"/>
  <c r="Q49" i="13"/>
  <c r="Q33" i="13"/>
  <c r="Q46" i="13"/>
  <c r="Q30" i="13"/>
  <c r="Q14" i="13"/>
  <c r="Q379" i="13"/>
  <c r="Q344" i="13"/>
  <c r="Q289" i="13"/>
  <c r="Q347" i="13"/>
  <c r="Q335" i="13"/>
  <c r="Q334" i="13"/>
  <c r="Q286" i="13"/>
  <c r="Q137" i="13"/>
  <c r="Q345" i="13"/>
  <c r="Q297" i="13"/>
  <c r="Q337" i="13"/>
  <c r="Q247" i="13"/>
  <c r="Q56" i="13"/>
  <c r="Q150" i="13"/>
  <c r="Q13" i="13"/>
  <c r="Q224" i="13"/>
  <c r="Q196" i="13"/>
  <c r="Q185" i="13"/>
  <c r="Q163" i="13"/>
  <c r="Q136" i="13"/>
  <c r="Q19" i="13"/>
  <c r="Q31" i="13"/>
  <c r="Q90" i="13"/>
  <c r="Q378" i="13"/>
  <c r="Q388" i="13"/>
  <c r="Q338" i="13"/>
  <c r="Q290" i="13"/>
  <c r="Q86" i="13"/>
  <c r="Q372" i="13"/>
  <c r="Q312" i="13"/>
  <c r="Q323" i="13"/>
  <c r="Q209" i="13"/>
  <c r="Q317" i="13"/>
  <c r="Q370" i="13"/>
  <c r="Q328" i="13"/>
  <c r="Q280" i="13"/>
  <c r="Q331" i="13"/>
  <c r="Q271" i="13"/>
  <c r="Q98" i="13"/>
  <c r="Q339" i="13"/>
  <c r="Q291" i="13"/>
  <c r="Q261" i="13"/>
  <c r="Q106" i="13"/>
  <c r="Q70" i="13"/>
  <c r="Q307" i="13"/>
  <c r="Q188" i="13"/>
  <c r="Q110" i="13"/>
  <c r="Q104" i="13"/>
  <c r="Q231" i="13"/>
  <c r="Q181" i="13"/>
  <c r="Q159" i="13"/>
  <c r="Q61" i="13"/>
  <c r="Q178" i="13"/>
  <c r="Q45" i="13"/>
  <c r="Q29" i="13"/>
  <c r="Q183" i="13"/>
  <c r="Q191" i="13"/>
  <c r="Q108" i="13"/>
  <c r="Q239" i="13"/>
  <c r="Q227" i="13"/>
  <c r="Q139" i="13"/>
  <c r="Q240" i="13"/>
  <c r="Q168" i="13"/>
  <c r="Q42" i="13"/>
  <c r="Q26" i="13"/>
  <c r="Q10" i="13"/>
  <c r="Q146" i="13"/>
  <c r="Q71" i="13"/>
  <c r="Q155" i="13"/>
  <c r="Q195" i="13"/>
  <c r="Q51" i="13"/>
  <c r="Q222" i="13"/>
  <c r="Q387" i="13"/>
  <c r="Q332" i="13"/>
  <c r="Q284" i="13"/>
  <c r="Q25" i="13"/>
  <c r="Q275" i="13"/>
  <c r="Q373" i="13"/>
  <c r="Q366" i="13"/>
  <c r="Q354" i="13"/>
  <c r="Q306" i="13"/>
  <c r="Q246" i="13"/>
  <c r="Q305" i="13"/>
  <c r="Q269" i="13"/>
  <c r="Q251" i="13"/>
  <c r="Q299" i="13"/>
  <c r="Q322" i="13"/>
  <c r="Q295" i="13"/>
  <c r="Q265" i="13"/>
  <c r="Q333" i="13"/>
  <c r="Q285" i="13"/>
  <c r="Q277" i="13"/>
  <c r="Q18" i="13"/>
  <c r="Q238" i="13"/>
  <c r="Q166" i="13"/>
  <c r="Q16" i="13"/>
  <c r="Q215" i="13"/>
  <c r="Q68" i="13"/>
  <c r="Q124" i="13"/>
  <c r="Q192" i="13"/>
  <c r="Q176" i="13"/>
  <c r="Q115" i="13"/>
  <c r="Q97" i="13"/>
  <c r="Q9" i="13"/>
  <c r="Q219" i="13"/>
  <c r="Q72" i="13"/>
  <c r="Q161" i="13"/>
  <c r="Q235" i="13"/>
  <c r="Q207" i="13"/>
  <c r="Q107" i="13"/>
  <c r="Q89" i="13"/>
  <c r="Q167" i="13"/>
  <c r="Q151" i="13"/>
  <c r="Q144" i="13"/>
  <c r="Q35" i="13"/>
  <c r="Q23" i="13"/>
  <c r="Q385" i="13"/>
  <c r="Q326" i="13"/>
  <c r="Q278" i="13"/>
  <c r="Q266" i="13"/>
  <c r="Q353" i="13"/>
  <c r="Q348" i="13"/>
  <c r="Q300" i="13"/>
  <c r="Q74" i="13"/>
  <c r="Q41" i="13"/>
  <c r="Q214" i="13"/>
  <c r="Q76" i="13"/>
  <c r="Q152" i="13"/>
  <c r="Q54" i="13"/>
  <c r="Q38" i="13"/>
  <c r="Q22" i="13"/>
  <c r="Q6" i="13"/>
  <c r="Q27" i="13"/>
  <c r="Q11" i="13"/>
  <c r="Q7" i="13"/>
  <c r="Q386" i="13"/>
  <c r="Q320" i="13"/>
  <c r="Q254" i="13"/>
  <c r="Q248" i="13"/>
  <c r="Q342" i="13"/>
  <c r="Q294" i="13"/>
  <c r="Q310" i="13"/>
  <c r="Q256" i="13"/>
  <c r="Q321" i="13"/>
  <c r="Q267" i="13"/>
  <c r="Q58" i="13"/>
  <c r="Q343" i="13"/>
  <c r="Q78" i="13"/>
  <c r="Q143" i="13"/>
  <c r="Q138" i="13"/>
  <c r="Q73" i="13"/>
  <c r="Q21" i="13"/>
  <c r="Q186" i="13"/>
  <c r="Q96" i="13"/>
  <c r="Q211" i="13"/>
  <c r="Q83" i="13"/>
  <c r="Q65" i="13"/>
  <c r="Q15" i="13"/>
  <c r="Q123" i="13"/>
  <c r="Q153" i="13"/>
  <c r="Q384" i="13"/>
  <c r="Q314" i="13"/>
  <c r="Q260" i="13"/>
  <c r="Q145" i="13"/>
  <c r="Q329" i="13"/>
  <c r="Q336" i="13"/>
  <c r="Q288" i="13"/>
  <c r="Q270" i="13"/>
  <c r="Q352" i="13"/>
  <c r="Q304" i="13"/>
  <c r="Q268" i="13"/>
  <c r="Q250" i="13"/>
  <c r="Q315" i="13"/>
  <c r="Q367" i="13"/>
  <c r="Q361" i="13"/>
  <c r="Q313" i="13"/>
  <c r="Q253" i="13"/>
  <c r="P368" i="13"/>
  <c r="P370" i="13"/>
  <c r="P273" i="13"/>
  <c r="P372" i="13"/>
  <c r="P343" i="13"/>
  <c r="P283" i="13"/>
  <c r="P362" i="13"/>
  <c r="P313" i="13"/>
  <c r="P256" i="13"/>
  <c r="P250" i="13"/>
  <c r="P379" i="13"/>
  <c r="P369" i="13"/>
  <c r="P373" i="13"/>
  <c r="P352" i="13"/>
  <c r="P340" i="13"/>
  <c r="P334" i="13"/>
  <c r="P328" i="13"/>
  <c r="P316" i="13"/>
  <c r="P310" i="13"/>
  <c r="P304" i="13"/>
  <c r="P298" i="13"/>
  <c r="P292" i="13"/>
  <c r="P286" i="13"/>
  <c r="P280" i="13"/>
  <c r="P378" i="13"/>
  <c r="P375" i="13"/>
  <c r="P341" i="13"/>
  <c r="P329" i="13"/>
  <c r="P311" i="13"/>
  <c r="P386" i="13"/>
  <c r="P353" i="13"/>
  <c r="P293" i="13"/>
  <c r="P359" i="13"/>
  <c r="P275" i="13"/>
  <c r="P377" i="13"/>
  <c r="P371" i="13"/>
  <c r="P389" i="13"/>
  <c r="P366" i="13"/>
  <c r="P360" i="13"/>
  <c r="P276" i="13"/>
  <c r="P270" i="13"/>
  <c r="P246" i="13"/>
  <c r="P383" i="13"/>
  <c r="P347" i="13"/>
  <c r="P323" i="13"/>
  <c r="P305" i="13"/>
  <c r="P287" i="13"/>
  <c r="P376" i="13"/>
  <c r="P358" i="13"/>
  <c r="P363" i="13"/>
  <c r="P267" i="13"/>
  <c r="P255" i="13"/>
  <c r="P367" i="13"/>
  <c r="P361" i="13"/>
  <c r="P355" i="13"/>
  <c r="P364" i="13"/>
  <c r="P260" i="13"/>
  <c r="P254" i="13"/>
  <c r="P269" i="13"/>
  <c r="P325" i="13"/>
  <c r="P301" i="13"/>
  <c r="P349" i="13"/>
  <c r="P319" i="13"/>
  <c r="P289" i="13"/>
  <c r="P271" i="13"/>
  <c r="P374" i="13"/>
  <c r="P351" i="13"/>
  <c r="P345" i="13"/>
  <c r="P339" i="13"/>
  <c r="P333" i="13"/>
  <c r="P327" i="13"/>
  <c r="P321" i="13"/>
  <c r="P315" i="13"/>
  <c r="P309" i="13"/>
  <c r="P303" i="13"/>
  <c r="P297" i="13"/>
  <c r="P291" i="13"/>
  <c r="P285" i="13"/>
  <c r="P279" i="13"/>
  <c r="P266" i="13"/>
  <c r="P259" i="13"/>
  <c r="P262" i="13"/>
  <c r="P356" i="13"/>
  <c r="P346" i="13"/>
  <c r="P322" i="13"/>
  <c r="P248" i="13"/>
  <c r="P257" i="13"/>
  <c r="P263" i="13"/>
  <c r="P274" i="13"/>
  <c r="P253" i="13"/>
  <c r="P350" i="13"/>
  <c r="P344" i="13"/>
  <c r="P338" i="13"/>
  <c r="P332" i="13"/>
  <c r="P326" i="13"/>
  <c r="P320" i="13"/>
  <c r="P314" i="13"/>
  <c r="P308" i="13"/>
  <c r="P302" i="13"/>
  <c r="P296" i="13"/>
  <c r="P290" i="13"/>
  <c r="P284" i="13"/>
  <c r="P278" i="13"/>
  <c r="P258" i="13"/>
  <c r="P251" i="13"/>
  <c r="P268" i="13"/>
  <c r="P337" i="13"/>
  <c r="P307" i="13"/>
  <c r="P277" i="13"/>
  <c r="P272" i="13"/>
  <c r="P264" i="13"/>
  <c r="P252" i="13"/>
  <c r="P265" i="13"/>
  <c r="P357" i="13"/>
  <c r="P249" i="13"/>
  <c r="P247" i="13"/>
  <c r="P365" i="13"/>
  <c r="P354" i="13"/>
  <c r="P261" i="13"/>
  <c r="P348" i="13"/>
  <c r="P342" i="13"/>
  <c r="P336" i="13"/>
  <c r="P330" i="13"/>
  <c r="P324" i="13"/>
  <c r="P318" i="13"/>
  <c r="P312" i="13"/>
  <c r="P306" i="13"/>
  <c r="P300" i="13"/>
  <c r="P294" i="13"/>
  <c r="P288" i="13"/>
  <c r="P282" i="13"/>
  <c r="P335" i="13"/>
  <c r="P317" i="13"/>
  <c r="P299" i="13"/>
  <c r="P281" i="13"/>
  <c r="P331" i="13"/>
  <c r="P295" i="13"/>
  <c r="P385" i="13"/>
  <c r="P384" i="13"/>
  <c r="P382" i="13"/>
  <c r="P381" i="13"/>
  <c r="P380" i="13"/>
  <c r="P388" i="13"/>
  <c r="P387" i="13"/>
  <c r="Q396" i="13"/>
  <c r="P6" i="13"/>
  <c r="Q394" i="13" l="1"/>
  <c r="Q395" i="13"/>
  <c r="Q391" i="13"/>
  <c r="Q390" i="13"/>
  <c r="Q397" i="13"/>
  <c r="Q393" i="13"/>
  <c r="Q392" i="13"/>
  <c r="P392" i="13"/>
  <c r="P396" i="13"/>
  <c r="P394" i="13"/>
  <c r="P397" i="13"/>
  <c r="P393" i="13"/>
  <c r="P391" i="13"/>
  <c r="P390" i="13"/>
  <c r="P395" i="13"/>
  <c r="G6" i="5"/>
  <c r="C19" i="3" l="1"/>
  <c r="C16" i="3"/>
  <c r="AK12" i="2"/>
  <c r="AK13" i="2"/>
  <c r="AK11" i="2"/>
  <c r="AK9" i="2"/>
  <c r="AK10" i="2"/>
  <c r="AK8" i="2"/>
  <c r="AK6" i="2"/>
  <c r="AK7" i="2"/>
  <c r="AK5" i="2"/>
  <c r="J68" i="2"/>
  <c r="K68" i="2"/>
  <c r="I68" i="2"/>
  <c r="G68" i="2"/>
  <c r="H68" i="2"/>
  <c r="F68" i="2"/>
  <c r="D68" i="2"/>
  <c r="E68" i="2"/>
  <c r="C68" i="2"/>
  <c r="C36" i="3"/>
  <c r="C35" i="3"/>
  <c r="H7" i="5"/>
  <c r="H8" i="5"/>
  <c r="H9" i="5"/>
  <c r="H10" i="5"/>
  <c r="H11" i="5"/>
  <c r="H12" i="5"/>
  <c r="H6" i="5"/>
  <c r="C13" i="8" l="1"/>
  <c r="D21" i="2"/>
  <c r="D16" i="2"/>
  <c r="E21" i="2"/>
  <c r="E23" i="2"/>
  <c r="F23" i="2"/>
  <c r="D24" i="2"/>
  <c r="F20" i="2"/>
  <c r="D17" i="2"/>
  <c r="F21" i="2"/>
  <c r="D23" i="2"/>
  <c r="D19" i="2"/>
  <c r="T8" i="2" s="1"/>
  <c r="E24" i="2"/>
  <c r="D20" i="2"/>
  <c r="E20" i="2"/>
  <c r="E17" i="2"/>
  <c r="D22" i="2"/>
  <c r="E18" i="2"/>
  <c r="F24" i="2"/>
  <c r="F17" i="2"/>
  <c r="E22" i="2"/>
  <c r="E19" i="2"/>
  <c r="F19" i="2"/>
  <c r="F16" i="2"/>
  <c r="D18" i="2"/>
  <c r="F22" i="2"/>
  <c r="F18" i="2"/>
  <c r="E16" i="2"/>
  <c r="G5" i="2" s="1"/>
  <c r="C50" i="6"/>
  <c r="C35" i="6"/>
  <c r="C18" i="6"/>
  <c r="C4" i="6"/>
  <c r="H16" i="8"/>
  <c r="E104" i="3"/>
  <c r="E146" i="3"/>
  <c r="E90" i="3"/>
  <c r="E132" i="3"/>
  <c r="E118" i="3"/>
  <c r="E76" i="3"/>
  <c r="E58" i="3"/>
  <c r="C72" i="3" s="1"/>
  <c r="C17" i="3"/>
  <c r="E48" i="3"/>
  <c r="F46" i="3"/>
  <c r="C18" i="3" l="1"/>
  <c r="T7" i="17"/>
  <c r="X9" i="2"/>
  <c r="AC12" i="2"/>
  <c r="W9" i="2"/>
  <c r="K13" i="2"/>
  <c r="Y11" i="2"/>
  <c r="T22" i="17"/>
  <c r="T5" i="13"/>
  <c r="T20" i="13"/>
  <c r="T27" i="13" s="1"/>
  <c r="AI13" i="2"/>
  <c r="AG9" i="2"/>
  <c r="O12" i="2"/>
  <c r="P12" i="2"/>
  <c r="Q11" i="2"/>
  <c r="I10" i="2"/>
  <c r="AH6" i="2"/>
  <c r="V13" i="2"/>
  <c r="Q12" i="2"/>
  <c r="G9" i="2"/>
  <c r="AG13" i="2"/>
  <c r="N13" i="2"/>
  <c r="J5" i="2"/>
  <c r="AC11" i="2"/>
  <c r="AF6" i="2"/>
  <c r="R7" i="2"/>
  <c r="R6" i="2"/>
  <c r="H6" i="2"/>
  <c r="AH12" i="2"/>
  <c r="I11" i="2"/>
  <c r="P7" i="2"/>
  <c r="V6" i="2"/>
  <c r="H7" i="2"/>
  <c r="T7" i="2"/>
  <c r="R13" i="2"/>
  <c r="W11" i="2"/>
  <c r="V10" i="2"/>
  <c r="R9" i="2"/>
  <c r="J12" i="2"/>
  <c r="AF13" i="2"/>
  <c r="G12" i="2"/>
  <c r="AG6" i="2"/>
  <c r="AD7" i="2"/>
  <c r="N11" i="2"/>
  <c r="I7" i="2"/>
  <c r="X13" i="2"/>
  <c r="Y9" i="2"/>
  <c r="U12" i="2"/>
  <c r="X12" i="2"/>
  <c r="Z12" i="2"/>
  <c r="S9" i="2"/>
  <c r="S10" i="2"/>
  <c r="U13" i="2"/>
  <c r="AI12" i="2"/>
  <c r="AG5" i="2"/>
  <c r="AA12" i="2"/>
  <c r="AE11" i="2"/>
  <c r="AE8" i="2"/>
  <c r="AH13" i="2"/>
  <c r="AH5" i="2"/>
  <c r="K7" i="2"/>
  <c r="V9" i="2"/>
  <c r="Y6" i="2"/>
  <c r="Y10" i="2"/>
  <c r="AB13" i="2"/>
  <c r="AA13" i="2"/>
  <c r="T12" i="2"/>
  <c r="W7" i="2"/>
  <c r="AF7" i="2"/>
  <c r="Q5" i="2"/>
  <c r="AD5" i="2"/>
  <c r="R12" i="2"/>
  <c r="AG12" i="2"/>
  <c r="L9" i="2"/>
  <c r="Z10" i="2"/>
  <c r="U10" i="2"/>
  <c r="AB11" i="2"/>
  <c r="L11" i="2"/>
  <c r="AI5" i="2"/>
  <c r="T11" i="2"/>
  <c r="U9" i="2"/>
  <c r="L6" i="2"/>
  <c r="Y13" i="2"/>
  <c r="Q9" i="2"/>
  <c r="S13" i="2"/>
  <c r="G8" i="2"/>
  <c r="V8" i="2"/>
  <c r="AB5" i="2"/>
  <c r="Q6" i="2"/>
  <c r="K12" i="2"/>
  <c r="Q7" i="2"/>
  <c r="I6" i="2"/>
  <c r="Q10" i="2"/>
  <c r="O6" i="2"/>
  <c r="AE12" i="2"/>
  <c r="Y12" i="2"/>
  <c r="R10" i="2"/>
  <c r="P6" i="2"/>
  <c r="AF12" i="2"/>
  <c r="W6" i="2"/>
  <c r="J7" i="2"/>
  <c r="L7" i="2"/>
  <c r="AE6" i="2"/>
  <c r="Q13" i="2"/>
  <c r="AB6" i="2"/>
  <c r="Z9" i="2"/>
  <c r="AA10" i="2"/>
  <c r="AE7" i="2"/>
  <c r="J11" i="2"/>
  <c r="P10" i="2"/>
  <c r="H8" i="2"/>
  <c r="AB10" i="2"/>
  <c r="AD8" i="2"/>
  <c r="AI10" i="2"/>
  <c r="O11" i="2"/>
  <c r="P9" i="2"/>
  <c r="G7" i="2"/>
  <c r="U7" i="2"/>
  <c r="S12" i="2"/>
  <c r="L10" i="2"/>
  <c r="AE9" i="2"/>
  <c r="Y5" i="2"/>
  <c r="N6" i="2"/>
  <c r="Z6" i="2"/>
  <c r="S8" i="2"/>
  <c r="M12" i="2"/>
  <c r="AC6" i="2"/>
  <c r="O13" i="2"/>
  <c r="AB12" i="2"/>
  <c r="AD6" i="2"/>
  <c r="P13" i="2"/>
  <c r="AI7" i="2"/>
  <c r="T9" i="2"/>
  <c r="J8" i="2"/>
  <c r="O7" i="2"/>
  <c r="AE13" i="2"/>
  <c r="X6" i="2"/>
  <c r="H9" i="2"/>
  <c r="J10" i="2"/>
  <c r="G13" i="2"/>
  <c r="P11" i="2"/>
  <c r="O8" i="2"/>
  <c r="H5" i="2"/>
  <c r="X11" i="2"/>
  <c r="H10" i="2"/>
  <c r="N10" i="2"/>
  <c r="AI11" i="2"/>
  <c r="AB9" i="2"/>
  <c r="AG11" i="2"/>
  <c r="AH11" i="2"/>
  <c r="AC10" i="2"/>
  <c r="N5" i="2"/>
  <c r="M7" i="2"/>
  <c r="AC13" i="2"/>
  <c r="J6" i="2"/>
  <c r="AC5" i="2"/>
  <c r="N7" i="2"/>
  <c r="AD13" i="2"/>
  <c r="AG8" i="2"/>
  <c r="AF10" i="2"/>
  <c r="X8" i="2"/>
  <c r="AC7" i="2"/>
  <c r="W5" i="2"/>
  <c r="AF9" i="2"/>
  <c r="AD12" i="2"/>
  <c r="X10" i="2"/>
  <c r="X5" i="2"/>
  <c r="L13" i="2"/>
  <c r="AC8" i="2"/>
  <c r="V5" i="2"/>
  <c r="H12" i="2"/>
  <c r="G10" i="2"/>
  <c r="AB8" i="2"/>
  <c r="AA11" i="2"/>
  <c r="X7" i="2"/>
  <c r="AA7" i="2"/>
  <c r="W8" i="2"/>
  <c r="AB7" i="2"/>
  <c r="G6" i="2"/>
  <c r="O10" i="2"/>
  <c r="N12" i="2"/>
  <c r="M8" i="2"/>
  <c r="AG7" i="2"/>
  <c r="J13" i="2"/>
  <c r="H11" i="2"/>
  <c r="AH7" i="2"/>
  <c r="M9" i="2"/>
  <c r="V12" i="2"/>
  <c r="G11" i="2"/>
  <c r="U5" i="2"/>
  <c r="AE10" i="2"/>
  <c r="U11" i="2"/>
  <c r="AA6" i="2"/>
  <c r="AI8" i="2"/>
  <c r="K6" i="2"/>
  <c r="U6" i="2"/>
  <c r="AE5" i="2"/>
  <c r="I5" i="2"/>
  <c r="W13" i="2"/>
  <c r="AH9" i="2"/>
  <c r="K8" i="2"/>
  <c r="AI6" i="2"/>
  <c r="AH8" i="2"/>
  <c r="M13" i="2"/>
  <c r="L8" i="2"/>
  <c r="Q8" i="2"/>
  <c r="M11" i="2"/>
  <c r="O5" i="2"/>
  <c r="T10" i="2"/>
  <c r="AA8" i="2"/>
  <c r="M10" i="2"/>
  <c r="M5" i="2"/>
  <c r="V11" i="2"/>
  <c r="AD9" i="2"/>
  <c r="M6" i="2"/>
  <c r="AA9" i="2"/>
  <c r="T6" i="2"/>
  <c r="R8" i="2"/>
  <c r="W10" i="2"/>
  <c r="P8" i="2"/>
  <c r="AF8" i="2"/>
  <c r="AA5" i="2"/>
  <c r="S11" i="2"/>
  <c r="N8" i="2"/>
  <c r="AF5" i="2"/>
  <c r="S7" i="2"/>
  <c r="L5" i="2"/>
  <c r="Z13" i="2"/>
  <c r="Y8" i="2"/>
  <c r="O9" i="2"/>
  <c r="AD10" i="2"/>
  <c r="P5" i="2"/>
  <c r="Z8" i="2"/>
  <c r="K11" i="2"/>
  <c r="I13" i="2"/>
  <c r="Y7" i="2"/>
  <c r="R11" i="2"/>
  <c r="K9" i="2"/>
  <c r="I12" i="2"/>
  <c r="U8" i="2"/>
  <c r="T5" i="2"/>
  <c r="H13" i="2"/>
  <c r="I8" i="2"/>
  <c r="K10" i="2"/>
  <c r="T13" i="2"/>
  <c r="AH10" i="2"/>
  <c r="AD11" i="2"/>
  <c r="N9" i="2"/>
  <c r="K5" i="2"/>
  <c r="S5" i="2"/>
  <c r="S6" i="2"/>
  <c r="Z11" i="2"/>
  <c r="R5" i="2"/>
  <c r="AC9" i="2"/>
  <c r="V7" i="2"/>
  <c r="I9" i="2"/>
  <c r="L12" i="2"/>
  <c r="Z7" i="2"/>
  <c r="J9" i="2"/>
  <c r="W12" i="2"/>
  <c r="Z5" i="2"/>
  <c r="AI9" i="2"/>
  <c r="AF11" i="2"/>
  <c r="AG10" i="2"/>
  <c r="D35" i="6"/>
  <c r="D18" i="6"/>
  <c r="D4" i="6"/>
  <c r="D50" i="6"/>
  <c r="I16" i="8"/>
  <c r="F58" i="3"/>
  <c r="U20" i="13" s="1"/>
  <c r="F104" i="3"/>
  <c r="F146" i="3"/>
  <c r="F90" i="3"/>
  <c r="F132" i="3"/>
  <c r="F118" i="3"/>
  <c r="F76" i="3"/>
  <c r="G46" i="3"/>
  <c r="C13" i="4"/>
  <c r="E7" i="4" s="1"/>
  <c r="C12" i="4"/>
  <c r="E6" i="4" s="1"/>
  <c r="E5" i="4"/>
  <c r="T25" i="13" l="1"/>
  <c r="T30" i="13"/>
  <c r="T31" i="13"/>
  <c r="T26" i="13"/>
  <c r="T21" i="13"/>
  <c r="T22" i="13"/>
  <c r="T29" i="13"/>
  <c r="T32" i="13"/>
  <c r="T28" i="13"/>
  <c r="T23" i="13"/>
  <c r="T24" i="13"/>
  <c r="U7" i="17"/>
  <c r="U5" i="13"/>
  <c r="U22" i="17"/>
  <c r="U28" i="13"/>
  <c r="U30" i="13"/>
  <c r="U24" i="13"/>
  <c r="U27" i="13"/>
  <c r="U25" i="13"/>
  <c r="U32" i="13"/>
  <c r="U26" i="13"/>
  <c r="U22" i="13"/>
  <c r="U23" i="13"/>
  <c r="U21" i="13"/>
  <c r="U31" i="13"/>
  <c r="U29" i="13"/>
  <c r="E35" i="6"/>
  <c r="E18" i="6"/>
  <c r="E4" i="6"/>
  <c r="E50" i="6"/>
  <c r="J16" i="8"/>
  <c r="G146" i="3"/>
  <c r="G132" i="3"/>
  <c r="G104" i="3"/>
  <c r="G58" i="3"/>
  <c r="V7" i="17" s="1"/>
  <c r="G90" i="3"/>
  <c r="G76" i="3"/>
  <c r="G118" i="3"/>
  <c r="F48" i="3"/>
  <c r="H46" i="3"/>
  <c r="G48" i="3"/>
  <c r="V20" i="13" l="1"/>
  <c r="V26" i="13" s="1"/>
  <c r="V21" i="13"/>
  <c r="V27" i="13"/>
  <c r="V22" i="17"/>
  <c r="V5" i="13"/>
  <c r="F35" i="6"/>
  <c r="F18" i="6"/>
  <c r="F4" i="6"/>
  <c r="F50" i="6"/>
  <c r="K16" i="8"/>
  <c r="H104" i="3"/>
  <c r="H58" i="3"/>
  <c r="W5" i="13" s="1"/>
  <c r="H76" i="3"/>
  <c r="H146" i="3"/>
  <c r="H90" i="3"/>
  <c r="H132" i="3"/>
  <c r="H118" i="3"/>
  <c r="I46" i="3"/>
  <c r="H48" i="3"/>
  <c r="G7" i="5"/>
  <c r="G8" i="5"/>
  <c r="G9" i="5"/>
  <c r="G10" i="5"/>
  <c r="G11" i="5"/>
  <c r="G12" i="5"/>
  <c r="D21" i="19"/>
  <c r="C34" i="3" l="1"/>
  <c r="V24" i="13"/>
  <c r="V25" i="13"/>
  <c r="V22" i="13"/>
  <c r="V23" i="13"/>
  <c r="V31" i="13"/>
  <c r="V29" i="13"/>
  <c r="V32" i="13"/>
  <c r="V30" i="13"/>
  <c r="V28" i="13"/>
  <c r="G35" i="6"/>
  <c r="G4" i="6"/>
  <c r="G18" i="6"/>
  <c r="G50" i="6"/>
  <c r="W20" i="13"/>
  <c r="W7" i="17"/>
  <c r="W22" i="17"/>
  <c r="L16" i="8"/>
  <c r="I90" i="3"/>
  <c r="I58" i="3"/>
  <c r="X22" i="17" s="1"/>
  <c r="I132" i="3"/>
  <c r="I146" i="3"/>
  <c r="I76" i="3"/>
  <c r="I118" i="3"/>
  <c r="I104" i="3"/>
  <c r="J46" i="3"/>
  <c r="I48" i="3"/>
  <c r="AH17" i="5"/>
  <c r="AI17" i="5"/>
  <c r="AJ17" i="5"/>
  <c r="AH20" i="5"/>
  <c r="AI20" i="5"/>
  <c r="AJ20" i="5"/>
  <c r="X5" i="13" l="1"/>
  <c r="W30" i="13"/>
  <c r="W21" i="13"/>
  <c r="W23" i="13"/>
  <c r="W32" i="13"/>
  <c r="W22" i="13"/>
  <c r="W27" i="13"/>
  <c r="W31" i="13"/>
  <c r="W29" i="13"/>
  <c r="W24" i="13"/>
  <c r="W28" i="13"/>
  <c r="W25" i="13"/>
  <c r="W26" i="13"/>
  <c r="H4" i="6"/>
  <c r="H18" i="6"/>
  <c r="H50" i="6"/>
  <c r="H35" i="6"/>
  <c r="X20" i="13"/>
  <c r="X7" i="17"/>
  <c r="M16" i="8"/>
  <c r="J146" i="3"/>
  <c r="J132" i="3"/>
  <c r="J58" i="3"/>
  <c r="Y7" i="17" s="1"/>
  <c r="J76" i="3"/>
  <c r="J90" i="3"/>
  <c r="J118" i="3"/>
  <c r="J104" i="3"/>
  <c r="K46" i="3"/>
  <c r="J48" i="3"/>
  <c r="C21" i="19"/>
  <c r="G23" i="19"/>
  <c r="G24" i="19"/>
  <c r="G25" i="19"/>
  <c r="G26" i="19"/>
  <c r="G27" i="19"/>
  <c r="G28" i="19"/>
  <c r="G29" i="19"/>
  <c r="G30" i="19"/>
  <c r="G31" i="19"/>
  <c r="G22" i="19"/>
  <c r="B23" i="19"/>
  <c r="B24" i="19"/>
  <c r="B25" i="19"/>
  <c r="B26" i="19"/>
  <c r="B27" i="19"/>
  <c r="B28" i="19"/>
  <c r="B29" i="19"/>
  <c r="B30" i="19"/>
  <c r="B31" i="19"/>
  <c r="F21" i="19"/>
  <c r="E21" i="19"/>
  <c r="X30" i="13" l="1"/>
  <c r="X26" i="13"/>
  <c r="X24" i="13"/>
  <c r="X31" i="13"/>
  <c r="X22" i="13"/>
  <c r="X28" i="13"/>
  <c r="X23" i="13"/>
  <c r="X27" i="13"/>
  <c r="X21" i="13"/>
  <c r="X25" i="13"/>
  <c r="X29" i="13"/>
  <c r="X32" i="13"/>
  <c r="Y20" i="13"/>
  <c r="Y22" i="17"/>
  <c r="Y5" i="13"/>
  <c r="I18" i="6"/>
  <c r="I4" i="6"/>
  <c r="I50" i="6"/>
  <c r="I35" i="6"/>
  <c r="N16" i="8"/>
  <c r="K132" i="3"/>
  <c r="K58" i="3"/>
  <c r="Z5" i="13" s="1"/>
  <c r="K118" i="3"/>
  <c r="K90" i="3"/>
  <c r="K76" i="3"/>
  <c r="K146" i="3"/>
  <c r="K104" i="3"/>
  <c r="L46" i="3"/>
  <c r="K48" i="3"/>
  <c r="E31" i="19" a="1"/>
  <c r="E22" i="19" a="1"/>
  <c r="D22" i="19"/>
  <c r="C22" i="19" a="1"/>
  <c r="C24" i="19" a="1"/>
  <c r="D30" i="19"/>
  <c r="E29" i="19" a="1"/>
  <c r="C23" i="19" a="1"/>
  <c r="C25" i="19" a="1"/>
  <c r="C30" i="19" a="1"/>
  <c r="C31" i="19" a="1"/>
  <c r="C29" i="19" a="1"/>
  <c r="C26" i="19" a="1"/>
  <c r="C27" i="19" a="1"/>
  <c r="C28" i="19" a="1"/>
  <c r="D27" i="19"/>
  <c r="E28" i="19" a="1"/>
  <c r="D26" i="19"/>
  <c r="E27" i="19" a="1"/>
  <c r="D25" i="19"/>
  <c r="E26" i="19" a="1"/>
  <c r="D24" i="19"/>
  <c r="E25" i="19" a="1"/>
  <c r="D31" i="19"/>
  <c r="D23" i="19"/>
  <c r="E24" i="19" a="1"/>
  <c r="E23" i="19" a="1"/>
  <c r="D29" i="19"/>
  <c r="E30" i="19" a="1"/>
  <c r="D28" i="19"/>
  <c r="Y27" i="13" l="1"/>
  <c r="Y25" i="13"/>
  <c r="Y30" i="13"/>
  <c r="Y26" i="13"/>
  <c r="Y23" i="13"/>
  <c r="Y22" i="13"/>
  <c r="Y29" i="13"/>
  <c r="Y32" i="13"/>
  <c r="Y24" i="13"/>
  <c r="Y21" i="13"/>
  <c r="Y31" i="13"/>
  <c r="Y28" i="13"/>
  <c r="Z7" i="17"/>
  <c r="Z20" i="13"/>
  <c r="Z22" i="17"/>
  <c r="J18" i="6"/>
  <c r="J4" i="6"/>
  <c r="J50" i="6"/>
  <c r="J35" i="6"/>
  <c r="O16" i="8"/>
  <c r="L90" i="3"/>
  <c r="L132" i="3"/>
  <c r="L76" i="3"/>
  <c r="L118" i="3"/>
  <c r="L58" i="3"/>
  <c r="AA22" i="17" s="1"/>
  <c r="L146" i="3"/>
  <c r="L104" i="3"/>
  <c r="M46" i="3"/>
  <c r="L48" i="3"/>
  <c r="F22" i="19"/>
  <c r="F25" i="19"/>
  <c r="F26" i="19"/>
  <c r="F24" i="19"/>
  <c r="F27" i="19"/>
  <c r="F31" i="19"/>
  <c r="F29" i="19"/>
  <c r="F30" i="19"/>
  <c r="F28" i="19"/>
  <c r="F23" i="19"/>
  <c r="AA5" i="13" l="1"/>
  <c r="Z21" i="13"/>
  <c r="Z22" i="13"/>
  <c r="Z32" i="13"/>
  <c r="Z23" i="13"/>
  <c r="Z26" i="13"/>
  <c r="Z29" i="13"/>
  <c r="Z30" i="13"/>
  <c r="Z31" i="13"/>
  <c r="Z25" i="13"/>
  <c r="Z28" i="13"/>
  <c r="Z24" i="13"/>
  <c r="Z27" i="13"/>
  <c r="K18" i="6"/>
  <c r="K4" i="6"/>
  <c r="K50" i="6"/>
  <c r="K35" i="6"/>
  <c r="AA20" i="13"/>
  <c r="AA7" i="17"/>
  <c r="P16" i="8"/>
  <c r="M76" i="3"/>
  <c r="M118" i="3"/>
  <c r="M58" i="3"/>
  <c r="AB22" i="17" s="1"/>
  <c r="M104" i="3"/>
  <c r="M132" i="3"/>
  <c r="M90" i="3"/>
  <c r="M146" i="3"/>
  <c r="N46" i="3"/>
  <c r="M48" i="3"/>
  <c r="B22" i="19"/>
  <c r="AA25" i="13" l="1"/>
  <c r="AA28" i="13"/>
  <c r="AA27" i="13"/>
  <c r="AA22" i="13"/>
  <c r="AA21" i="13"/>
  <c r="AA32" i="13"/>
  <c r="AA23" i="13"/>
  <c r="AA26" i="13"/>
  <c r="AA24" i="13"/>
  <c r="AA31" i="13"/>
  <c r="AA29" i="13"/>
  <c r="AA30" i="13"/>
  <c r="L50" i="6"/>
  <c r="L4" i="6"/>
  <c r="L35" i="6"/>
  <c r="L18" i="6"/>
  <c r="AB5" i="13"/>
  <c r="AB20" i="13"/>
  <c r="AB7" i="17"/>
  <c r="Q16" i="8"/>
  <c r="N132" i="3"/>
  <c r="N118" i="3"/>
  <c r="N104" i="3"/>
  <c r="N76" i="3"/>
  <c r="N58" i="3"/>
  <c r="AC20" i="13" s="1"/>
  <c r="N90" i="3"/>
  <c r="N146" i="3"/>
  <c r="O46" i="3"/>
  <c r="N48" i="3"/>
  <c r="AC5" i="13" l="1"/>
  <c r="AC22" i="17"/>
  <c r="AC29" i="13"/>
  <c r="AC23" i="13"/>
  <c r="AC30" i="13"/>
  <c r="AC32" i="13"/>
  <c r="AC28" i="13"/>
  <c r="AC26" i="13"/>
  <c r="AC25" i="13"/>
  <c r="AC21" i="13"/>
  <c r="AC24" i="13"/>
  <c r="AC31" i="13"/>
  <c r="AC27" i="13"/>
  <c r="AC22" i="13"/>
  <c r="AB29" i="13"/>
  <c r="AB30" i="13"/>
  <c r="AB31" i="13"/>
  <c r="AB21" i="13"/>
  <c r="AB25" i="13"/>
  <c r="AB22" i="13"/>
  <c r="AB27" i="13"/>
  <c r="AB23" i="13"/>
  <c r="AB26" i="13"/>
  <c r="AB28" i="13"/>
  <c r="AB32" i="13"/>
  <c r="AB24" i="13"/>
  <c r="M50" i="6"/>
  <c r="M4" i="6"/>
  <c r="M35" i="6"/>
  <c r="M18" i="6"/>
  <c r="AC7" i="17"/>
  <c r="R16" i="8"/>
  <c r="O118" i="3"/>
  <c r="O146" i="3"/>
  <c r="O76" i="3"/>
  <c r="O104" i="3"/>
  <c r="O132" i="3"/>
  <c r="O90" i="3"/>
  <c r="O58" i="3"/>
  <c r="P46" i="3"/>
  <c r="O48" i="3"/>
  <c r="C247" i="17"/>
  <c r="B247" i="17"/>
  <c r="C246" i="17"/>
  <c r="B246" i="17"/>
  <c r="C245" i="17"/>
  <c r="B245" i="17"/>
  <c r="C244" i="17"/>
  <c r="B244" i="17"/>
  <c r="C243" i="17"/>
  <c r="B243" i="17"/>
  <c r="C242" i="17"/>
  <c r="B242" i="17"/>
  <c r="C241" i="17"/>
  <c r="B241" i="17"/>
  <c r="C240" i="17"/>
  <c r="B240" i="17"/>
  <c r="C239" i="17"/>
  <c r="B239" i="17"/>
  <c r="C238" i="17"/>
  <c r="B238" i="17"/>
  <c r="C237" i="17"/>
  <c r="B237" i="17"/>
  <c r="C236" i="17"/>
  <c r="B236" i="17"/>
  <c r="C235" i="17"/>
  <c r="B235" i="17"/>
  <c r="C234" i="17"/>
  <c r="B234" i="17"/>
  <c r="C233" i="17"/>
  <c r="B233" i="17"/>
  <c r="C232" i="17"/>
  <c r="B232" i="17"/>
  <c r="C231" i="17"/>
  <c r="B231" i="17"/>
  <c r="C230" i="17"/>
  <c r="B230" i="17"/>
  <c r="C229" i="17"/>
  <c r="B229" i="17"/>
  <c r="C228" i="17"/>
  <c r="B228" i="17"/>
  <c r="C227" i="17"/>
  <c r="B227" i="17"/>
  <c r="C226" i="17"/>
  <c r="B226" i="17"/>
  <c r="C225" i="17"/>
  <c r="B225" i="17"/>
  <c r="C224" i="17"/>
  <c r="B224" i="17"/>
  <c r="C223" i="17"/>
  <c r="B223" i="17"/>
  <c r="C222" i="17"/>
  <c r="B222" i="17"/>
  <c r="C221" i="17"/>
  <c r="B221" i="17"/>
  <c r="C220" i="17"/>
  <c r="B220" i="17"/>
  <c r="C219" i="17"/>
  <c r="B219" i="17"/>
  <c r="C218" i="17"/>
  <c r="B218" i="17"/>
  <c r="C217" i="17"/>
  <c r="B217" i="17"/>
  <c r="C216" i="17"/>
  <c r="B216" i="17"/>
  <c r="C215" i="17"/>
  <c r="B215" i="17"/>
  <c r="C214" i="17"/>
  <c r="B214" i="17"/>
  <c r="C213" i="17"/>
  <c r="B213" i="17"/>
  <c r="C212" i="17"/>
  <c r="B212" i="17"/>
  <c r="C211" i="17"/>
  <c r="B211" i="17"/>
  <c r="C210" i="17"/>
  <c r="B210" i="17"/>
  <c r="C209" i="17"/>
  <c r="B209" i="17"/>
  <c r="C208" i="17"/>
  <c r="B208" i="17"/>
  <c r="C207" i="17"/>
  <c r="B207" i="17"/>
  <c r="C206" i="17"/>
  <c r="B206" i="17"/>
  <c r="C205" i="17"/>
  <c r="B205" i="17"/>
  <c r="C204" i="17"/>
  <c r="B204" i="17"/>
  <c r="C203" i="17"/>
  <c r="B203" i="17"/>
  <c r="C202" i="17"/>
  <c r="B202" i="17"/>
  <c r="C201" i="17"/>
  <c r="B201" i="17"/>
  <c r="C200" i="17"/>
  <c r="B200" i="17"/>
  <c r="C199" i="17"/>
  <c r="B199" i="17"/>
  <c r="C198" i="17"/>
  <c r="B198" i="17"/>
  <c r="C197" i="17"/>
  <c r="B197" i="17"/>
  <c r="C196" i="17"/>
  <c r="B196" i="17"/>
  <c r="C195" i="17"/>
  <c r="B195" i="17"/>
  <c r="C194" i="17"/>
  <c r="B194" i="17"/>
  <c r="C193" i="17"/>
  <c r="B193" i="17"/>
  <c r="C192" i="17"/>
  <c r="B192" i="17"/>
  <c r="C191" i="17"/>
  <c r="B191" i="17"/>
  <c r="C190" i="17"/>
  <c r="B190" i="17"/>
  <c r="C189" i="17"/>
  <c r="B189" i="17"/>
  <c r="C188" i="17"/>
  <c r="B188" i="17"/>
  <c r="C187" i="17"/>
  <c r="B187" i="17"/>
  <c r="C186" i="17"/>
  <c r="B186" i="17"/>
  <c r="C185" i="17"/>
  <c r="B185" i="17"/>
  <c r="C184" i="17"/>
  <c r="B184" i="17"/>
  <c r="C183" i="17"/>
  <c r="B183" i="17"/>
  <c r="C182" i="17"/>
  <c r="B182" i="17"/>
  <c r="C181" i="17"/>
  <c r="B181" i="17"/>
  <c r="C180" i="17"/>
  <c r="B180" i="17"/>
  <c r="C179" i="17"/>
  <c r="B179" i="17"/>
  <c r="C178" i="17"/>
  <c r="B178" i="17"/>
  <c r="C177" i="17"/>
  <c r="B177" i="17"/>
  <c r="C176" i="17"/>
  <c r="B176" i="17"/>
  <c r="C175" i="17"/>
  <c r="B175" i="17"/>
  <c r="C174" i="17"/>
  <c r="B174" i="17"/>
  <c r="C173" i="17"/>
  <c r="B173" i="17"/>
  <c r="C172" i="17"/>
  <c r="B172" i="17"/>
  <c r="C171" i="17"/>
  <c r="B171" i="17"/>
  <c r="C170" i="17"/>
  <c r="B170" i="17"/>
  <c r="C169" i="17"/>
  <c r="B169" i="17"/>
  <c r="C168" i="17"/>
  <c r="B168" i="17"/>
  <c r="C167" i="17"/>
  <c r="B167" i="17"/>
  <c r="C166" i="17"/>
  <c r="B166" i="17"/>
  <c r="C165" i="17"/>
  <c r="B165" i="17"/>
  <c r="C164" i="17"/>
  <c r="B164" i="17"/>
  <c r="C163" i="17"/>
  <c r="B163" i="17"/>
  <c r="C162" i="17"/>
  <c r="B162" i="17"/>
  <c r="C161" i="17"/>
  <c r="B161" i="17"/>
  <c r="C160" i="17"/>
  <c r="B160" i="17"/>
  <c r="C159" i="17"/>
  <c r="B159" i="17"/>
  <c r="C158" i="17"/>
  <c r="B158" i="17"/>
  <c r="C157" i="17"/>
  <c r="B157" i="17"/>
  <c r="C156" i="17"/>
  <c r="B156" i="17"/>
  <c r="C155" i="17"/>
  <c r="B155" i="17"/>
  <c r="C154" i="17"/>
  <c r="B154" i="17"/>
  <c r="C153" i="17"/>
  <c r="B153" i="17"/>
  <c r="C152" i="17"/>
  <c r="B152" i="17"/>
  <c r="C151" i="17"/>
  <c r="B151" i="17"/>
  <c r="C150" i="17"/>
  <c r="B150" i="17"/>
  <c r="C149" i="17"/>
  <c r="B149" i="17"/>
  <c r="C148" i="17"/>
  <c r="B148" i="17"/>
  <c r="C147" i="17"/>
  <c r="B147" i="17"/>
  <c r="C146" i="17"/>
  <c r="B146" i="17"/>
  <c r="C145" i="17"/>
  <c r="B145" i="17"/>
  <c r="C144" i="17"/>
  <c r="B144" i="17"/>
  <c r="C143" i="17"/>
  <c r="B143" i="17"/>
  <c r="C142" i="17"/>
  <c r="B142" i="17"/>
  <c r="C141" i="17"/>
  <c r="B141" i="17"/>
  <c r="C140" i="17"/>
  <c r="B140" i="17"/>
  <c r="C139" i="17"/>
  <c r="B139" i="17"/>
  <c r="C138" i="17"/>
  <c r="B138" i="17"/>
  <c r="C137" i="17"/>
  <c r="B137" i="17"/>
  <c r="C136" i="17"/>
  <c r="B136" i="17"/>
  <c r="C135" i="17"/>
  <c r="B135" i="17"/>
  <c r="C134" i="17"/>
  <c r="B134" i="17"/>
  <c r="C133" i="17"/>
  <c r="B133" i="17"/>
  <c r="C132" i="17"/>
  <c r="B132" i="17"/>
  <c r="C131" i="17"/>
  <c r="B131" i="17"/>
  <c r="C130" i="17"/>
  <c r="B130" i="17"/>
  <c r="C129" i="17"/>
  <c r="B129" i="17"/>
  <c r="C128" i="17"/>
  <c r="B128" i="17"/>
  <c r="C127" i="17"/>
  <c r="B127" i="17"/>
  <c r="C126" i="17"/>
  <c r="B126" i="17"/>
  <c r="C125" i="17"/>
  <c r="B125" i="17"/>
  <c r="C124" i="17"/>
  <c r="B124" i="17"/>
  <c r="C123" i="17"/>
  <c r="B123" i="17"/>
  <c r="C122" i="17"/>
  <c r="B122" i="17"/>
  <c r="C121" i="17"/>
  <c r="B121" i="17"/>
  <c r="C120" i="17"/>
  <c r="B120" i="17"/>
  <c r="C119" i="17"/>
  <c r="B119" i="17"/>
  <c r="C118" i="17"/>
  <c r="B118" i="17"/>
  <c r="C117" i="17"/>
  <c r="B117" i="17"/>
  <c r="C116" i="17"/>
  <c r="B116" i="17"/>
  <c r="C115" i="17"/>
  <c r="B115" i="17"/>
  <c r="C114" i="17"/>
  <c r="B114" i="17"/>
  <c r="C113" i="17"/>
  <c r="B113" i="17"/>
  <c r="C112" i="17"/>
  <c r="B112" i="17"/>
  <c r="C111" i="17"/>
  <c r="B111" i="17"/>
  <c r="C110" i="17"/>
  <c r="B110" i="17"/>
  <c r="C109" i="17"/>
  <c r="B109" i="17"/>
  <c r="C108" i="17"/>
  <c r="B108" i="17"/>
  <c r="C107" i="17"/>
  <c r="B107" i="17"/>
  <c r="C106" i="17"/>
  <c r="B106" i="17"/>
  <c r="C105" i="17"/>
  <c r="B105" i="17"/>
  <c r="C104" i="17"/>
  <c r="B104" i="17"/>
  <c r="C103" i="17"/>
  <c r="B103" i="17"/>
  <c r="C102" i="17"/>
  <c r="B102" i="17"/>
  <c r="C101" i="17"/>
  <c r="B101" i="17"/>
  <c r="C100" i="17"/>
  <c r="B100" i="17"/>
  <c r="C99" i="17"/>
  <c r="B99" i="17"/>
  <c r="C98" i="17"/>
  <c r="B98" i="17"/>
  <c r="C97" i="17"/>
  <c r="B97" i="17"/>
  <c r="C96" i="17"/>
  <c r="B96" i="17"/>
  <c r="C95" i="17"/>
  <c r="B95" i="17"/>
  <c r="C94" i="17"/>
  <c r="B94" i="17"/>
  <c r="C93" i="17"/>
  <c r="B93" i="17"/>
  <c r="C92" i="17"/>
  <c r="B92" i="17"/>
  <c r="C91" i="17"/>
  <c r="B91" i="17"/>
  <c r="C90" i="17"/>
  <c r="B90" i="17"/>
  <c r="C89" i="17"/>
  <c r="B89" i="17"/>
  <c r="C88" i="17"/>
  <c r="B88" i="17"/>
  <c r="C87" i="17"/>
  <c r="B87" i="17"/>
  <c r="C86" i="17"/>
  <c r="B86" i="17"/>
  <c r="C85" i="17"/>
  <c r="B85" i="17"/>
  <c r="C84" i="17"/>
  <c r="B84" i="17"/>
  <c r="C83" i="17"/>
  <c r="B83" i="17"/>
  <c r="C82" i="17"/>
  <c r="B82" i="17"/>
  <c r="C81" i="17"/>
  <c r="B81" i="17"/>
  <c r="C80" i="17"/>
  <c r="B80" i="17"/>
  <c r="C79" i="17"/>
  <c r="B79" i="17"/>
  <c r="C78" i="17"/>
  <c r="B78" i="17"/>
  <c r="C77" i="17"/>
  <c r="B77" i="17"/>
  <c r="C76" i="17"/>
  <c r="B76" i="17"/>
  <c r="C75" i="17"/>
  <c r="B75" i="17"/>
  <c r="C74" i="17"/>
  <c r="B74" i="17"/>
  <c r="C73" i="17"/>
  <c r="B73" i="17"/>
  <c r="C72" i="17"/>
  <c r="B72" i="17"/>
  <c r="C71" i="17"/>
  <c r="B71" i="17"/>
  <c r="C70" i="17"/>
  <c r="B70" i="17"/>
  <c r="C69" i="17"/>
  <c r="B69" i="17"/>
  <c r="C68" i="17"/>
  <c r="B68" i="17"/>
  <c r="C67" i="17"/>
  <c r="B67" i="17"/>
  <c r="C66" i="17"/>
  <c r="B66" i="17"/>
  <c r="C65" i="17"/>
  <c r="B65" i="17"/>
  <c r="C64" i="17"/>
  <c r="B64" i="17"/>
  <c r="C63" i="17"/>
  <c r="B63" i="17"/>
  <c r="C62" i="17"/>
  <c r="B62" i="17"/>
  <c r="C61" i="17"/>
  <c r="B61" i="17"/>
  <c r="C60" i="17"/>
  <c r="B60" i="17"/>
  <c r="C59" i="17"/>
  <c r="B59" i="17"/>
  <c r="C58" i="17"/>
  <c r="B58" i="17"/>
  <c r="C57" i="17"/>
  <c r="B57" i="17"/>
  <c r="C56" i="17"/>
  <c r="B56" i="17"/>
  <c r="C55" i="17"/>
  <c r="B55" i="17"/>
  <c r="C54" i="17"/>
  <c r="B54" i="17"/>
  <c r="C53" i="17"/>
  <c r="B53" i="17"/>
  <c r="C52" i="17"/>
  <c r="B52" i="17"/>
  <c r="C51" i="17"/>
  <c r="B51" i="17"/>
  <c r="C50" i="17"/>
  <c r="B50" i="17"/>
  <c r="C49" i="17"/>
  <c r="B49" i="17"/>
  <c r="C48" i="17"/>
  <c r="B48" i="17"/>
  <c r="C47" i="17"/>
  <c r="B47" i="17"/>
  <c r="C46" i="17"/>
  <c r="B46" i="17"/>
  <c r="C45" i="17"/>
  <c r="B45" i="17"/>
  <c r="C44" i="17"/>
  <c r="B44" i="17"/>
  <c r="C43" i="17"/>
  <c r="B43" i="17"/>
  <c r="C42" i="17"/>
  <c r="B42" i="17"/>
  <c r="C41" i="17"/>
  <c r="B41" i="17"/>
  <c r="C40" i="17"/>
  <c r="B40" i="17"/>
  <c r="C39" i="17"/>
  <c r="B39" i="17"/>
  <c r="C38" i="17"/>
  <c r="B38" i="17"/>
  <c r="C37" i="17"/>
  <c r="B37" i="17"/>
  <c r="C36" i="17"/>
  <c r="B36" i="17"/>
  <c r="C35" i="17"/>
  <c r="B35" i="17"/>
  <c r="C34" i="17"/>
  <c r="B34" i="17"/>
  <c r="C33" i="17"/>
  <c r="B33" i="17"/>
  <c r="C32" i="17"/>
  <c r="B32" i="17"/>
  <c r="C31" i="17"/>
  <c r="B31" i="17"/>
  <c r="C30" i="17"/>
  <c r="B30" i="17"/>
  <c r="C29" i="17"/>
  <c r="B29" i="17"/>
  <c r="C28" i="17"/>
  <c r="B28" i="17"/>
  <c r="C27" i="17"/>
  <c r="B27" i="17"/>
  <c r="C26" i="17"/>
  <c r="B26" i="17"/>
  <c r="C25" i="17"/>
  <c r="B25" i="17"/>
  <c r="C24" i="17"/>
  <c r="B24" i="17"/>
  <c r="C23" i="17"/>
  <c r="B23" i="17"/>
  <c r="C22" i="17"/>
  <c r="B22" i="17"/>
  <c r="C21" i="17"/>
  <c r="B21" i="17"/>
  <c r="C20" i="17"/>
  <c r="B20" i="17"/>
  <c r="C19" i="17"/>
  <c r="B19" i="17"/>
  <c r="C18" i="17"/>
  <c r="B18" i="17"/>
  <c r="C17" i="17"/>
  <c r="B17" i="17"/>
  <c r="C16" i="17"/>
  <c r="B16" i="17"/>
  <c r="C15" i="17"/>
  <c r="B15" i="17"/>
  <c r="C14" i="17"/>
  <c r="B14" i="17"/>
  <c r="C13" i="17"/>
  <c r="B13" i="17"/>
  <c r="C12" i="17"/>
  <c r="B12" i="17"/>
  <c r="C11" i="17"/>
  <c r="B11" i="17"/>
  <c r="C10" i="17"/>
  <c r="B10" i="17"/>
  <c r="C9" i="17"/>
  <c r="B9" i="17"/>
  <c r="C8" i="17"/>
  <c r="B8" i="17"/>
  <c r="N50" i="6" l="1"/>
  <c r="N35" i="6"/>
  <c r="N4" i="6"/>
  <c r="N18" i="6"/>
  <c r="AD22" i="17"/>
  <c r="AD5" i="13"/>
  <c r="S16" i="8"/>
  <c r="P76" i="3"/>
  <c r="P104" i="3"/>
  <c r="P118" i="3"/>
  <c r="P146" i="3"/>
  <c r="P132" i="3"/>
  <c r="P90" i="3"/>
  <c r="P58" i="3"/>
  <c r="AE7" i="17" s="1"/>
  <c r="AD7" i="17"/>
  <c r="AD20" i="13"/>
  <c r="E52" i="17"/>
  <c r="E64" i="17"/>
  <c r="E76" i="17"/>
  <c r="E88" i="17"/>
  <c r="E100" i="17"/>
  <c r="E112" i="17"/>
  <c r="E124" i="17"/>
  <c r="E136" i="17"/>
  <c r="E148" i="17"/>
  <c r="E32" i="17"/>
  <c r="E116" i="17"/>
  <c r="E188" i="17"/>
  <c r="E212" i="17"/>
  <c r="E20" i="17"/>
  <c r="E44" i="17"/>
  <c r="E56" i="17"/>
  <c r="E68" i="17"/>
  <c r="E104" i="17"/>
  <c r="E128" i="17"/>
  <c r="E140" i="17"/>
  <c r="E200" i="17"/>
  <c r="E80" i="17"/>
  <c r="E92" i="17"/>
  <c r="E152" i="17"/>
  <c r="E164" i="17"/>
  <c r="E176" i="17"/>
  <c r="E160" i="17"/>
  <c r="E172" i="17"/>
  <c r="E184" i="17"/>
  <c r="E196" i="17"/>
  <c r="E208" i="17"/>
  <c r="E16" i="17"/>
  <c r="E40" i="17"/>
  <c r="E28" i="17"/>
  <c r="Q46" i="3"/>
  <c r="P48" i="3"/>
  <c r="E105" i="17"/>
  <c r="E117" i="17"/>
  <c r="E129" i="17"/>
  <c r="E245" i="17"/>
  <c r="E24" i="17"/>
  <c r="E84" i="17"/>
  <c r="E173" i="17"/>
  <c r="E215" i="17"/>
  <c r="E60" i="17"/>
  <c r="E108" i="17"/>
  <c r="E240" i="17"/>
  <c r="E109" i="17"/>
  <c r="E121" i="17"/>
  <c r="E133" i="17"/>
  <c r="E145" i="17"/>
  <c r="E157" i="17"/>
  <c r="E163" i="17"/>
  <c r="E169" i="17"/>
  <c r="E175" i="17"/>
  <c r="E181" i="17"/>
  <c r="E187" i="17"/>
  <c r="E193" i="17"/>
  <c r="E199" i="17"/>
  <c r="E205" i="17"/>
  <c r="E211" i="17"/>
  <c r="E217" i="17"/>
  <c r="E223" i="17"/>
  <c r="E229" i="17"/>
  <c r="E235" i="17"/>
  <c r="E241" i="17"/>
  <c r="E137" i="17"/>
  <c r="E185" i="17"/>
  <c r="E168" i="17"/>
  <c r="E101" i="17"/>
  <c r="E197" i="17"/>
  <c r="E227" i="17"/>
  <c r="E36" i="17"/>
  <c r="E120" i="17"/>
  <c r="E156" i="17"/>
  <c r="E204" i="17"/>
  <c r="E224" i="17"/>
  <c r="E236" i="17"/>
  <c r="E149" i="17"/>
  <c r="E191" i="17"/>
  <c r="E233" i="17"/>
  <c r="E72" i="17"/>
  <c r="E228" i="17"/>
  <c r="E125" i="17"/>
  <c r="E179" i="17"/>
  <c r="E203" i="17"/>
  <c r="E48" i="17"/>
  <c r="E96" i="17"/>
  <c r="E144" i="17"/>
  <c r="E192" i="17"/>
  <c r="E141" i="17"/>
  <c r="E153" i="17"/>
  <c r="E159" i="17"/>
  <c r="E165" i="17"/>
  <c r="E171" i="17"/>
  <c r="E177" i="17"/>
  <c r="E183" i="17"/>
  <c r="E189" i="17"/>
  <c r="E195" i="17"/>
  <c r="E201" i="17"/>
  <c r="E207" i="17"/>
  <c r="E213" i="17"/>
  <c r="E219" i="17"/>
  <c r="E225" i="17"/>
  <c r="E231" i="17"/>
  <c r="E237" i="17"/>
  <c r="E243" i="17"/>
  <c r="E161" i="17"/>
  <c r="E209" i="17"/>
  <c r="E12" i="17"/>
  <c r="E132" i="17"/>
  <c r="E180" i="17"/>
  <c r="E216" i="17"/>
  <c r="E113" i="17"/>
  <c r="E221" i="17"/>
  <c r="E220" i="17"/>
  <c r="E232" i="17"/>
  <c r="E244" i="17"/>
  <c r="E54" i="17"/>
  <c r="E94" i="17"/>
  <c r="E126" i="17"/>
  <c r="E142" i="17"/>
  <c r="E146" i="17"/>
  <c r="E158" i="17"/>
  <c r="E170" i="17"/>
  <c r="E174" i="17"/>
  <c r="E178" i="17"/>
  <c r="E182" i="17"/>
  <c r="E186" i="17"/>
  <c r="E190" i="17"/>
  <c r="E194" i="17"/>
  <c r="E198" i="17"/>
  <c r="E202" i="17"/>
  <c r="E206" i="17"/>
  <c r="E210" i="17"/>
  <c r="E214" i="17"/>
  <c r="E218" i="17"/>
  <c r="E222" i="17"/>
  <c r="E226" i="17"/>
  <c r="E230" i="17"/>
  <c r="E234" i="17"/>
  <c r="E238" i="17"/>
  <c r="E242" i="17"/>
  <c r="E246" i="17"/>
  <c r="E26" i="17"/>
  <c r="E78" i="17"/>
  <c r="E150" i="17"/>
  <c r="E30" i="17"/>
  <c r="E74" i="17"/>
  <c r="E118" i="17"/>
  <c r="E154" i="17"/>
  <c r="E23" i="17"/>
  <c r="E39" i="17"/>
  <c r="E55" i="17"/>
  <c r="E71" i="17"/>
  <c r="E87" i="17"/>
  <c r="E99" i="17"/>
  <c r="E111" i="17"/>
  <c r="E127" i="17"/>
  <c r="E135" i="17"/>
  <c r="E147" i="17"/>
  <c r="E155" i="17"/>
  <c r="E239" i="17"/>
  <c r="E247" i="17"/>
  <c r="E22" i="17"/>
  <c r="E46" i="17"/>
  <c r="E66" i="17"/>
  <c r="E90" i="17"/>
  <c r="E114" i="17"/>
  <c r="E130" i="17"/>
  <c r="E138" i="17"/>
  <c r="E162" i="17"/>
  <c r="E15" i="17"/>
  <c r="E27" i="17"/>
  <c r="E35" i="17"/>
  <c r="E47" i="17"/>
  <c r="E59" i="17"/>
  <c r="E67" i="17"/>
  <c r="E75" i="17"/>
  <c r="E83" i="17"/>
  <c r="E91" i="17"/>
  <c r="E95" i="17"/>
  <c r="E103" i="17"/>
  <c r="E107" i="17"/>
  <c r="E119" i="17"/>
  <c r="E123" i="17"/>
  <c r="E131" i="17"/>
  <c r="E139" i="17"/>
  <c r="E143" i="17"/>
  <c r="E151" i="17"/>
  <c r="E167" i="17"/>
  <c r="E10" i="17"/>
  <c r="E42" i="17"/>
  <c r="E62" i="17"/>
  <c r="E86" i="17"/>
  <c r="E106" i="17"/>
  <c r="E122" i="17"/>
  <c r="E134" i="17"/>
  <c r="E166" i="17"/>
  <c r="E11" i="17"/>
  <c r="E19" i="17"/>
  <c r="E31" i="17"/>
  <c r="E43" i="17"/>
  <c r="E51" i="17"/>
  <c r="E63" i="17"/>
  <c r="E79" i="17"/>
  <c r="E115" i="17"/>
  <c r="E18" i="17"/>
  <c r="E82" i="17"/>
  <c r="E50" i="17"/>
  <c r="E102" i="17"/>
  <c r="E8" i="17"/>
  <c r="E70" i="17"/>
  <c r="E34" i="17"/>
  <c r="E98" i="17"/>
  <c r="E17" i="17"/>
  <c r="E29" i="17"/>
  <c r="E41" i="17"/>
  <c r="E49" i="17"/>
  <c r="E61" i="17"/>
  <c r="E73" i="17"/>
  <c r="E89" i="17"/>
  <c r="E14" i="17"/>
  <c r="E38" i="17"/>
  <c r="E58" i="17"/>
  <c r="E110" i="17"/>
  <c r="E9" i="17"/>
  <c r="E13" i="17"/>
  <c r="E21" i="17"/>
  <c r="E25" i="17"/>
  <c r="E33" i="17"/>
  <c r="E37" i="17"/>
  <c r="E45" i="17"/>
  <c r="E53" i="17"/>
  <c r="E57" i="17"/>
  <c r="E65" i="17"/>
  <c r="E69" i="17"/>
  <c r="E77" i="17"/>
  <c r="E81" i="17"/>
  <c r="E85" i="17"/>
  <c r="E93" i="17"/>
  <c r="E97" i="17"/>
  <c r="AE20" i="13" l="1"/>
  <c r="AE22" i="17"/>
  <c r="AE34" i="17" s="1"/>
  <c r="AC19" i="17"/>
  <c r="AC16" i="17"/>
  <c r="AC15" i="17"/>
  <c r="AC13" i="17"/>
  <c r="AC9" i="17"/>
  <c r="AC12" i="17"/>
  <c r="AC18" i="17"/>
  <c r="L29" i="6" s="1"/>
  <c r="AC17" i="17"/>
  <c r="L28" i="6" s="1"/>
  <c r="L60" i="6" s="1"/>
  <c r="AC10" i="17"/>
  <c r="L21" i="6" s="1"/>
  <c r="AC11" i="17"/>
  <c r="L22" i="6" s="1"/>
  <c r="L54" i="6" s="1"/>
  <c r="T16" i="17"/>
  <c r="C27" i="6" s="1"/>
  <c r="T25" i="17"/>
  <c r="T26" i="17"/>
  <c r="T10" i="17"/>
  <c r="C21" i="6" s="1"/>
  <c r="T32" i="17"/>
  <c r="T13" i="17"/>
  <c r="C24" i="6" s="1"/>
  <c r="T29" i="17"/>
  <c r="T8" i="17"/>
  <c r="T23" i="17"/>
  <c r="T14" i="17"/>
  <c r="C25" i="6" s="1"/>
  <c r="T33" i="17"/>
  <c r="T34" i="17"/>
  <c r="T19" i="17"/>
  <c r="C30" i="6" s="1"/>
  <c r="T31" i="17"/>
  <c r="T28" i="17"/>
  <c r="T11" i="17"/>
  <c r="C22" i="6" s="1"/>
  <c r="T18" i="17"/>
  <c r="C29" i="6" s="1"/>
  <c r="T30" i="17"/>
  <c r="T12" i="17"/>
  <c r="C23" i="6" s="1"/>
  <c r="T24" i="17"/>
  <c r="T15" i="17"/>
  <c r="T27" i="17"/>
  <c r="T17" i="17"/>
  <c r="T9" i="17"/>
  <c r="C20" i="6" s="1"/>
  <c r="U23" i="17"/>
  <c r="U16" i="17"/>
  <c r="U28" i="17"/>
  <c r="U15" i="17"/>
  <c r="U27" i="17"/>
  <c r="U34" i="17"/>
  <c r="U25" i="17"/>
  <c r="U12" i="17"/>
  <c r="D23" i="6" s="1"/>
  <c r="U10" i="17"/>
  <c r="D21" i="6" s="1"/>
  <c r="U30" i="17"/>
  <c r="U31" i="17"/>
  <c r="U32" i="17"/>
  <c r="U19" i="17"/>
  <c r="U33" i="17"/>
  <c r="U13" i="17"/>
  <c r="U29" i="17"/>
  <c r="U9" i="17"/>
  <c r="D20" i="6" s="1"/>
  <c r="U26" i="17"/>
  <c r="U8" i="17"/>
  <c r="D19" i="6" s="1"/>
  <c r="U17" i="17"/>
  <c r="D28" i="6" s="1"/>
  <c r="U11" i="17"/>
  <c r="D22" i="6" s="1"/>
  <c r="U18" i="17"/>
  <c r="D29" i="6" s="1"/>
  <c r="U24" i="17"/>
  <c r="U14" i="17"/>
  <c r="D25" i="6" s="1"/>
  <c r="V11" i="17"/>
  <c r="E22" i="6" s="1"/>
  <c r="V14" i="17"/>
  <c r="E25" i="6" s="1"/>
  <c r="V18" i="17"/>
  <c r="E29" i="6" s="1"/>
  <c r="V8" i="17"/>
  <c r="V13" i="17"/>
  <c r="E24" i="6" s="1"/>
  <c r="V10" i="17"/>
  <c r="E21" i="6" s="1"/>
  <c r="E53" i="6" s="1"/>
  <c r="V17" i="17"/>
  <c r="E28" i="6" s="1"/>
  <c r="V15" i="17"/>
  <c r="E26" i="6" s="1"/>
  <c r="V19" i="17"/>
  <c r="V9" i="17"/>
  <c r="E20" i="6" s="1"/>
  <c r="V12" i="17"/>
  <c r="E23" i="6" s="1"/>
  <c r="V16" i="17"/>
  <c r="E27" i="6" s="1"/>
  <c r="V24" i="17"/>
  <c r="V26" i="17"/>
  <c r="V32" i="17"/>
  <c r="V30" i="17"/>
  <c r="V31" i="17"/>
  <c r="V28" i="17"/>
  <c r="V25" i="17"/>
  <c r="V29" i="17"/>
  <c r="V34" i="17"/>
  <c r="V23" i="17"/>
  <c r="V33" i="17"/>
  <c r="V27" i="17"/>
  <c r="W24" i="17"/>
  <c r="W19" i="17"/>
  <c r="F30" i="6" s="1"/>
  <c r="X27" i="17"/>
  <c r="W31" i="17"/>
  <c r="W11" i="17"/>
  <c r="F22" i="6" s="1"/>
  <c r="X34" i="17"/>
  <c r="X31" i="17"/>
  <c r="W16" i="17"/>
  <c r="F27" i="6" s="1"/>
  <c r="X23" i="17"/>
  <c r="X25" i="17"/>
  <c r="W13" i="17"/>
  <c r="F24" i="6" s="1"/>
  <c r="W34" i="17"/>
  <c r="W17" i="17"/>
  <c r="F28" i="6" s="1"/>
  <c r="X30" i="17"/>
  <c r="W23" i="17"/>
  <c r="W18" i="17"/>
  <c r="F29" i="6" s="1"/>
  <c r="X24" i="17"/>
  <c r="W28" i="17"/>
  <c r="W9" i="17"/>
  <c r="F20" i="6" s="1"/>
  <c r="W12" i="17"/>
  <c r="F23" i="6" s="1"/>
  <c r="X26" i="17"/>
  <c r="X33" i="17"/>
  <c r="W25" i="17"/>
  <c r="W14" i="17"/>
  <c r="F25" i="6" s="1"/>
  <c r="W32" i="17"/>
  <c r="W15" i="17"/>
  <c r="F26" i="6" s="1"/>
  <c r="X28" i="17"/>
  <c r="W8" i="17"/>
  <c r="F19" i="6" s="1"/>
  <c r="X29" i="17"/>
  <c r="W26" i="17"/>
  <c r="W30" i="17"/>
  <c r="X32" i="17"/>
  <c r="W10" i="17"/>
  <c r="W29" i="17"/>
  <c r="W27" i="17"/>
  <c r="W33" i="17"/>
  <c r="X14" i="17"/>
  <c r="G25" i="6" s="1"/>
  <c r="Y19" i="17"/>
  <c r="H30" i="6" s="1"/>
  <c r="Y11" i="17"/>
  <c r="H22" i="6" s="1"/>
  <c r="X15" i="17"/>
  <c r="G26" i="6" s="1"/>
  <c r="Y8" i="17"/>
  <c r="X19" i="17"/>
  <c r="G30" i="6" s="1"/>
  <c r="X13" i="17"/>
  <c r="G24" i="6" s="1"/>
  <c r="G56" i="6" s="1"/>
  <c r="X16" i="17"/>
  <c r="G27" i="6" s="1"/>
  <c r="Y14" i="17"/>
  <c r="H25" i="6" s="1"/>
  <c r="Y15" i="17"/>
  <c r="H26" i="6" s="1"/>
  <c r="X11" i="17"/>
  <c r="Y12" i="17"/>
  <c r="Y18" i="17"/>
  <c r="H29" i="6" s="1"/>
  <c r="X12" i="17"/>
  <c r="G23" i="6" s="1"/>
  <c r="X10" i="17"/>
  <c r="X18" i="17"/>
  <c r="G29" i="6" s="1"/>
  <c r="G61" i="6" s="1"/>
  <c r="Y16" i="17"/>
  <c r="H27" i="6" s="1"/>
  <c r="Y13" i="17"/>
  <c r="H24" i="6" s="1"/>
  <c r="X17" i="17"/>
  <c r="G28" i="6" s="1"/>
  <c r="G60" i="6" s="1"/>
  <c r="Y9" i="17"/>
  <c r="H20" i="6" s="1"/>
  <c r="X9" i="17"/>
  <c r="G20" i="6" s="1"/>
  <c r="Y17" i="17"/>
  <c r="H28" i="6" s="1"/>
  <c r="X8" i="17"/>
  <c r="G19" i="6" s="1"/>
  <c r="Y10" i="17"/>
  <c r="H21" i="6" s="1"/>
  <c r="Y27" i="17"/>
  <c r="Y24" i="17"/>
  <c r="Y30" i="17"/>
  <c r="Y34" i="17"/>
  <c r="Y25" i="17"/>
  <c r="Y26" i="17"/>
  <c r="Y33" i="17"/>
  <c r="Y32" i="17"/>
  <c r="Y29" i="17"/>
  <c r="Y31" i="17"/>
  <c r="Y23" i="17"/>
  <c r="Y28" i="17"/>
  <c r="Z10" i="17"/>
  <c r="I21" i="6" s="1"/>
  <c r="AA25" i="17"/>
  <c r="Z30" i="17"/>
  <c r="Z17" i="17"/>
  <c r="I28" i="6" s="1"/>
  <c r="AA30" i="17"/>
  <c r="Z25" i="17"/>
  <c r="Z23" i="17"/>
  <c r="Z28" i="17"/>
  <c r="Z13" i="17"/>
  <c r="AA33" i="17"/>
  <c r="Z19" i="17"/>
  <c r="I30" i="6" s="1"/>
  <c r="AA27" i="17"/>
  <c r="Z32" i="17"/>
  <c r="Z14" i="17"/>
  <c r="I25" i="6" s="1"/>
  <c r="AA34" i="17"/>
  <c r="Z27" i="17"/>
  <c r="Z24" i="17"/>
  <c r="Z8" i="17"/>
  <c r="I19" i="6" s="1"/>
  <c r="Z12" i="17"/>
  <c r="I23" i="6" s="1"/>
  <c r="AA28" i="17"/>
  <c r="Z34" i="17"/>
  <c r="Z26" i="17"/>
  <c r="Z11" i="17"/>
  <c r="I22" i="6" s="1"/>
  <c r="AA24" i="17"/>
  <c r="AA26" i="17"/>
  <c r="Z18" i="17"/>
  <c r="I29" i="6" s="1"/>
  <c r="AA31" i="17"/>
  <c r="Z31" i="17"/>
  <c r="Z15" i="17"/>
  <c r="I26" i="6" s="1"/>
  <c r="AA23" i="17"/>
  <c r="AA29" i="17"/>
  <c r="AA32" i="17"/>
  <c r="Z33" i="17"/>
  <c r="Z9" i="17"/>
  <c r="I20" i="6" s="1"/>
  <c r="Z29" i="17"/>
  <c r="Z16" i="17"/>
  <c r="I27" i="6" s="1"/>
  <c r="AA10" i="17"/>
  <c r="J21" i="6" s="1"/>
  <c r="AB26" i="17"/>
  <c r="AB27" i="17"/>
  <c r="AA17" i="17"/>
  <c r="J28" i="6" s="1"/>
  <c r="AB33" i="17"/>
  <c r="AA15" i="17"/>
  <c r="J26" i="6" s="1"/>
  <c r="AB30" i="17"/>
  <c r="AB28" i="17"/>
  <c r="AA14" i="17"/>
  <c r="J25" i="6" s="1"/>
  <c r="AA11" i="17"/>
  <c r="J22" i="6" s="1"/>
  <c r="AA18" i="17"/>
  <c r="J29" i="6" s="1"/>
  <c r="AB34" i="17"/>
  <c r="AA12" i="17"/>
  <c r="J23" i="6" s="1"/>
  <c r="AA19" i="17"/>
  <c r="J30" i="6" s="1"/>
  <c r="J62" i="6" s="1"/>
  <c r="AB24" i="17"/>
  <c r="AB31" i="17"/>
  <c r="AB25" i="17"/>
  <c r="AB32" i="17"/>
  <c r="AA8" i="17"/>
  <c r="J19" i="6" s="1"/>
  <c r="AB23" i="17"/>
  <c r="AA16" i="17"/>
  <c r="J27" i="6" s="1"/>
  <c r="AA13" i="17"/>
  <c r="J24" i="6" s="1"/>
  <c r="AA9" i="17"/>
  <c r="J20" i="6" s="1"/>
  <c r="AB29" i="17"/>
  <c r="AC23" i="17"/>
  <c r="AB13" i="17"/>
  <c r="K24" i="6" s="1"/>
  <c r="AC26" i="17"/>
  <c r="AB15" i="17"/>
  <c r="K26" i="6" s="1"/>
  <c r="AC33" i="17"/>
  <c r="AB10" i="17"/>
  <c r="K21" i="6" s="1"/>
  <c r="AB17" i="17"/>
  <c r="K28" i="6" s="1"/>
  <c r="AC31" i="17"/>
  <c r="AC30" i="17"/>
  <c r="AB14" i="17"/>
  <c r="K25" i="6" s="1"/>
  <c r="AC27" i="17"/>
  <c r="AB11" i="17"/>
  <c r="K22" i="6" s="1"/>
  <c r="AC34" i="17"/>
  <c r="AB18" i="17"/>
  <c r="K29" i="6" s="1"/>
  <c r="AC24" i="17"/>
  <c r="AB12" i="17"/>
  <c r="AC25" i="17"/>
  <c r="AB19" i="17"/>
  <c r="K30" i="6" s="1"/>
  <c r="AB8" i="17"/>
  <c r="K19" i="6" s="1"/>
  <c r="AC32" i="17"/>
  <c r="AB16" i="17"/>
  <c r="K27" i="6" s="1"/>
  <c r="AC29" i="17"/>
  <c r="AC28" i="17"/>
  <c r="AB9" i="17"/>
  <c r="K20" i="6" s="1"/>
  <c r="AC14" i="17"/>
  <c r="L25" i="6" s="1"/>
  <c r="AC8" i="17"/>
  <c r="AD27" i="13"/>
  <c r="AD24" i="13"/>
  <c r="AD31" i="13"/>
  <c r="AD21" i="13"/>
  <c r="AD29" i="13"/>
  <c r="AD26" i="13"/>
  <c r="AD30" i="13"/>
  <c r="AD32" i="13"/>
  <c r="AD22" i="13"/>
  <c r="AD23" i="13"/>
  <c r="AD25" i="13"/>
  <c r="AD28" i="13"/>
  <c r="AD9" i="17"/>
  <c r="M20" i="6" s="1"/>
  <c r="AD16" i="17"/>
  <c r="M27" i="6" s="1"/>
  <c r="AD11" i="17"/>
  <c r="M22" i="6" s="1"/>
  <c r="AD8" i="17"/>
  <c r="AD13" i="17"/>
  <c r="M24" i="6" s="1"/>
  <c r="AD10" i="17"/>
  <c r="AD17" i="17"/>
  <c r="AD14" i="17"/>
  <c r="M25" i="6" s="1"/>
  <c r="AD18" i="17"/>
  <c r="M29" i="6" s="1"/>
  <c r="AD15" i="17"/>
  <c r="M26" i="6" s="1"/>
  <c r="AD12" i="17"/>
  <c r="M23" i="6" s="1"/>
  <c r="AD19" i="17"/>
  <c r="M30" i="6" s="1"/>
  <c r="AE17" i="17"/>
  <c r="N28" i="6" s="1"/>
  <c r="AE9" i="17"/>
  <c r="N20" i="6" s="1"/>
  <c r="AE16" i="17"/>
  <c r="N27" i="6" s="1"/>
  <c r="N59" i="6" s="1"/>
  <c r="AE8" i="17"/>
  <c r="AE13" i="17"/>
  <c r="N24" i="6" s="1"/>
  <c r="N56" i="6" s="1"/>
  <c r="AE14" i="17"/>
  <c r="AE10" i="17"/>
  <c r="AE15" i="17"/>
  <c r="N26" i="6" s="1"/>
  <c r="AE19" i="17"/>
  <c r="N30" i="6" s="1"/>
  <c r="N62" i="6" s="1"/>
  <c r="AE18" i="17"/>
  <c r="N29" i="6" s="1"/>
  <c r="AE11" i="17"/>
  <c r="N22" i="6" s="1"/>
  <c r="AE12" i="17"/>
  <c r="N23" i="6" s="1"/>
  <c r="AD29" i="17"/>
  <c r="AD24" i="17"/>
  <c r="AD26" i="17"/>
  <c r="AD33" i="17"/>
  <c r="AD30" i="17"/>
  <c r="AD31" i="17"/>
  <c r="AD27" i="17"/>
  <c r="AD34" i="17"/>
  <c r="AD28" i="17"/>
  <c r="AD32" i="17"/>
  <c r="AD23" i="17"/>
  <c r="AD25" i="17"/>
  <c r="AE21" i="13"/>
  <c r="AE31" i="13"/>
  <c r="AE30" i="13"/>
  <c r="AE22" i="13"/>
  <c r="AE32" i="13"/>
  <c r="AE28" i="13"/>
  <c r="AE29" i="13"/>
  <c r="AE24" i="13"/>
  <c r="AE26" i="13"/>
  <c r="AE25" i="13"/>
  <c r="AE27" i="13"/>
  <c r="AE23" i="13"/>
  <c r="AE33" i="17"/>
  <c r="AE30" i="17"/>
  <c r="AE24" i="17"/>
  <c r="AE28" i="17"/>
  <c r="AE32" i="17"/>
  <c r="AE5" i="13"/>
  <c r="O50" i="6"/>
  <c r="O35" i="6"/>
  <c r="O4" i="6"/>
  <c r="O18" i="6"/>
  <c r="T16" i="8"/>
  <c r="Q104" i="3"/>
  <c r="Q90" i="3"/>
  <c r="Q118" i="3"/>
  <c r="Q146" i="3"/>
  <c r="Q76" i="3"/>
  <c r="Q132" i="3"/>
  <c r="Q58" i="3"/>
  <c r="AF7" i="17" s="1"/>
  <c r="R46" i="3"/>
  <c r="Q48" i="3"/>
  <c r="C28" i="6"/>
  <c r="C19" i="6"/>
  <c r="C26" i="6"/>
  <c r="D26" i="6"/>
  <c r="D27" i="6"/>
  <c r="D24" i="6"/>
  <c r="D30" i="6"/>
  <c r="E30" i="6"/>
  <c r="E62" i="6" s="1"/>
  <c r="E19" i="6"/>
  <c r="F21" i="6"/>
  <c r="G22" i="6"/>
  <c r="G21" i="6"/>
  <c r="H23" i="6"/>
  <c r="H55" i="6" s="1"/>
  <c r="I24" i="6"/>
  <c r="K23" i="6"/>
  <c r="L30" i="6"/>
  <c r="L23" i="6"/>
  <c r="L55" i="6" s="1"/>
  <c r="L24" i="6"/>
  <c r="L27" i="6"/>
  <c r="L59" i="6" s="1"/>
  <c r="L26" i="6"/>
  <c r="L58" i="6" s="1"/>
  <c r="L20" i="6"/>
  <c r="L52" i="6" s="1"/>
  <c r="M19" i="6"/>
  <c r="M21" i="6"/>
  <c r="M28" i="6"/>
  <c r="N25" i="6"/>
  <c r="N21" i="6"/>
  <c r="P221" i="13"/>
  <c r="AE27" i="17" l="1"/>
  <c r="AE29" i="17"/>
  <c r="AE26" i="17"/>
  <c r="AE25" i="17"/>
  <c r="AE31" i="17"/>
  <c r="AE23" i="17"/>
  <c r="AF22" i="17"/>
  <c r="AF31" i="17" s="1"/>
  <c r="AC20" i="17"/>
  <c r="N19" i="6"/>
  <c r="N51" i="6" s="1"/>
  <c r="AE20" i="17"/>
  <c r="AD20" i="17"/>
  <c r="Z20" i="17"/>
  <c r="Y20" i="17"/>
  <c r="W20" i="17"/>
  <c r="V20" i="17"/>
  <c r="X20" i="17"/>
  <c r="H19" i="6"/>
  <c r="H51" i="6" s="1"/>
  <c r="T20" i="17"/>
  <c r="L19" i="6"/>
  <c r="L51" i="6" s="1"/>
  <c r="AB20" i="17"/>
  <c r="AA20" i="17"/>
  <c r="U20" i="17"/>
  <c r="AF27" i="17"/>
  <c r="AF12" i="17"/>
  <c r="O23" i="6" s="1"/>
  <c r="O55" i="6" s="1"/>
  <c r="AF19" i="17"/>
  <c r="O30" i="6" s="1"/>
  <c r="O62" i="6" s="1"/>
  <c r="AF9" i="17"/>
  <c r="O20" i="6" s="1"/>
  <c r="O52" i="6" s="1"/>
  <c r="AF16" i="17"/>
  <c r="O27" i="6" s="1"/>
  <c r="O59" i="6" s="1"/>
  <c r="AF8" i="17"/>
  <c r="O19" i="6" s="1"/>
  <c r="O51" i="6" s="1"/>
  <c r="AF14" i="17"/>
  <c r="O25" i="6" s="1"/>
  <c r="O57" i="6" s="1"/>
  <c r="AF13" i="17"/>
  <c r="O24" i="6" s="1"/>
  <c r="O56" i="6" s="1"/>
  <c r="AF10" i="17"/>
  <c r="O21" i="6" s="1"/>
  <c r="O53" i="6" s="1"/>
  <c r="AF17" i="17"/>
  <c r="O28" i="6" s="1"/>
  <c r="O60" i="6" s="1"/>
  <c r="AF11" i="17"/>
  <c r="O22" i="6" s="1"/>
  <c r="O54" i="6" s="1"/>
  <c r="AF18" i="17"/>
  <c r="O29" i="6" s="1"/>
  <c r="O61" i="6" s="1"/>
  <c r="AF15" i="17"/>
  <c r="O26" i="6" s="1"/>
  <c r="O58" i="6" s="1"/>
  <c r="AF20" i="13"/>
  <c r="AF5" i="13"/>
  <c r="P50" i="6"/>
  <c r="P35" i="6"/>
  <c r="P18" i="6"/>
  <c r="P4" i="6"/>
  <c r="U16" i="8"/>
  <c r="R118" i="3"/>
  <c r="R104" i="3"/>
  <c r="R146" i="3"/>
  <c r="R90" i="3"/>
  <c r="R76" i="3"/>
  <c r="R132" i="3"/>
  <c r="R58" i="3"/>
  <c r="AG7" i="17" s="1"/>
  <c r="N58" i="6"/>
  <c r="G62" i="6"/>
  <c r="L61" i="6"/>
  <c r="M56" i="6"/>
  <c r="N61" i="6"/>
  <c r="N53" i="6"/>
  <c r="G58" i="6"/>
  <c r="G57" i="6"/>
  <c r="N55" i="6"/>
  <c r="L56" i="6"/>
  <c r="N52" i="6"/>
  <c r="N54" i="6"/>
  <c r="N60" i="6"/>
  <c r="G52" i="6"/>
  <c r="I55" i="6"/>
  <c r="G54" i="6"/>
  <c r="G59" i="6"/>
  <c r="C51" i="6"/>
  <c r="G51" i="6"/>
  <c r="L62" i="6"/>
  <c r="G53" i="6"/>
  <c r="L53" i="6"/>
  <c r="E59" i="6"/>
  <c r="N57" i="6"/>
  <c r="G55" i="6"/>
  <c r="L57" i="6"/>
  <c r="S46" i="3"/>
  <c r="R48" i="3"/>
  <c r="M53" i="6"/>
  <c r="F57" i="6"/>
  <c r="H58" i="6"/>
  <c r="M59" i="6"/>
  <c r="F62" i="6"/>
  <c r="D53" i="6"/>
  <c r="F52" i="6"/>
  <c r="C55" i="6"/>
  <c r="C59" i="6"/>
  <c r="D56" i="6"/>
  <c r="E54" i="6"/>
  <c r="E51" i="6"/>
  <c r="J56" i="6"/>
  <c r="H57" i="6"/>
  <c r="D62" i="6"/>
  <c r="M58" i="6"/>
  <c r="J54" i="6"/>
  <c r="H54" i="6"/>
  <c r="M52" i="6"/>
  <c r="M55" i="6"/>
  <c r="C60" i="6"/>
  <c r="K56" i="6"/>
  <c r="F55" i="6"/>
  <c r="D54" i="6"/>
  <c r="J55" i="6"/>
  <c r="H61" i="6"/>
  <c r="H53" i="6"/>
  <c r="I60" i="6"/>
  <c r="I51" i="6"/>
  <c r="C62" i="6"/>
  <c r="D55" i="6"/>
  <c r="F53" i="6"/>
  <c r="M62" i="6"/>
  <c r="F51" i="6"/>
  <c r="K53" i="6"/>
  <c r="E55" i="6"/>
  <c r="H56" i="6"/>
  <c r="I52" i="6"/>
  <c r="M57" i="6"/>
  <c r="C56" i="6"/>
  <c r="M54" i="6"/>
  <c r="C54" i="6"/>
  <c r="C57" i="6"/>
  <c r="C53" i="6"/>
  <c r="D59" i="6"/>
  <c r="J57" i="6"/>
  <c r="J58" i="6"/>
  <c r="I62" i="6"/>
  <c r="F61" i="6"/>
  <c r="I58" i="6"/>
  <c r="F54" i="6"/>
  <c r="H52" i="6"/>
  <c r="K51" i="6"/>
  <c r="M60" i="6"/>
  <c r="K61" i="6"/>
  <c r="K58" i="6"/>
  <c r="K59" i="6"/>
  <c r="D60" i="6"/>
  <c r="E58" i="6"/>
  <c r="D51" i="6"/>
  <c r="J59" i="6"/>
  <c r="I56" i="6"/>
  <c r="C52" i="6"/>
  <c r="F60" i="6"/>
  <c r="C58" i="6"/>
  <c r="K55" i="6"/>
  <c r="E57" i="6"/>
  <c r="D52" i="6"/>
  <c r="I59" i="6"/>
  <c r="E61" i="6"/>
  <c r="H59" i="6"/>
  <c r="H62" i="6"/>
  <c r="F58" i="6"/>
  <c r="F56" i="6"/>
  <c r="M51" i="6"/>
  <c r="K52" i="6"/>
  <c r="K57" i="6"/>
  <c r="D57" i="6"/>
  <c r="D61" i="6"/>
  <c r="E56" i="6"/>
  <c r="J61" i="6"/>
  <c r="H60" i="6"/>
  <c r="J52" i="6"/>
  <c r="I54" i="6"/>
  <c r="K62" i="6"/>
  <c r="J51" i="6"/>
  <c r="M61" i="6"/>
  <c r="K54" i="6"/>
  <c r="I53" i="6"/>
  <c r="C61" i="6"/>
  <c r="K60" i="6"/>
  <c r="F59" i="6"/>
  <c r="E60" i="6"/>
  <c r="E52" i="6"/>
  <c r="J53" i="6"/>
  <c r="J60" i="6"/>
  <c r="D58" i="6"/>
  <c r="I57" i="6"/>
  <c r="I61" i="6"/>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T6" i="13" s="1"/>
  <c r="P55" i="13"/>
  <c r="T7" i="13" s="1"/>
  <c r="P56" i="13"/>
  <c r="T8" i="13" s="1"/>
  <c r="P57" i="13"/>
  <c r="T9" i="13" s="1"/>
  <c r="P58" i="13"/>
  <c r="T10" i="13" s="1"/>
  <c r="P59" i="13"/>
  <c r="T11" i="13" s="1"/>
  <c r="P60" i="13"/>
  <c r="T12" i="13" s="1"/>
  <c r="P61" i="13"/>
  <c r="T13" i="13" s="1"/>
  <c r="P62" i="13"/>
  <c r="T14" i="13" s="1"/>
  <c r="P63" i="13"/>
  <c r="T15" i="13" s="1"/>
  <c r="P64" i="13"/>
  <c r="T16" i="13" s="1"/>
  <c r="P65" i="13"/>
  <c r="T17" i="13" s="1"/>
  <c r="P66" i="13"/>
  <c r="U6" i="13" s="1"/>
  <c r="P67" i="13"/>
  <c r="U7" i="13" s="1"/>
  <c r="P68" i="13"/>
  <c r="U8" i="13" s="1"/>
  <c r="P69" i="13"/>
  <c r="U9" i="13" s="1"/>
  <c r="P70" i="13"/>
  <c r="U10" i="13" s="1"/>
  <c r="P71" i="13"/>
  <c r="U11" i="13" s="1"/>
  <c r="P72" i="13"/>
  <c r="U12" i="13" s="1"/>
  <c r="P73" i="13"/>
  <c r="U13" i="13" s="1"/>
  <c r="P74" i="13"/>
  <c r="U14" i="13" s="1"/>
  <c r="P75" i="13"/>
  <c r="U15" i="13" s="1"/>
  <c r="P76" i="13"/>
  <c r="U16" i="13" s="1"/>
  <c r="P77" i="13"/>
  <c r="U17" i="13" s="1"/>
  <c r="P78" i="13"/>
  <c r="V6" i="13" s="1"/>
  <c r="P79" i="13"/>
  <c r="V7" i="13" s="1"/>
  <c r="P80" i="13"/>
  <c r="V8" i="13" s="1"/>
  <c r="P81" i="13"/>
  <c r="V9" i="13" s="1"/>
  <c r="P82" i="13"/>
  <c r="V10" i="13" s="1"/>
  <c r="P83" i="13"/>
  <c r="V11" i="13" s="1"/>
  <c r="P84" i="13"/>
  <c r="V12" i="13" s="1"/>
  <c r="P85" i="13"/>
  <c r="V13" i="13" s="1"/>
  <c r="P86" i="13"/>
  <c r="V14" i="13" s="1"/>
  <c r="P87" i="13"/>
  <c r="V15" i="13" s="1"/>
  <c r="P88" i="13"/>
  <c r="V16" i="13" s="1"/>
  <c r="P89" i="13"/>
  <c r="V17" i="13" s="1"/>
  <c r="P90" i="13"/>
  <c r="W6" i="13" s="1"/>
  <c r="P91" i="13"/>
  <c r="W7" i="13" s="1"/>
  <c r="P92" i="13"/>
  <c r="W8" i="13" s="1"/>
  <c r="P93" i="13"/>
  <c r="W9" i="13" s="1"/>
  <c r="P94" i="13"/>
  <c r="W10" i="13" s="1"/>
  <c r="P95" i="13"/>
  <c r="W11" i="13" s="1"/>
  <c r="P96" i="13"/>
  <c r="W12" i="13" s="1"/>
  <c r="P97" i="13"/>
  <c r="W13" i="13" s="1"/>
  <c r="P98" i="13"/>
  <c r="W14" i="13" s="1"/>
  <c r="P99" i="13"/>
  <c r="W15" i="13" s="1"/>
  <c r="P100" i="13"/>
  <c r="W16" i="13" s="1"/>
  <c r="P101" i="13"/>
  <c r="W17" i="13" s="1"/>
  <c r="P102" i="13"/>
  <c r="X6" i="13" s="1"/>
  <c r="P103" i="13"/>
  <c r="X7" i="13" s="1"/>
  <c r="P104" i="13"/>
  <c r="X8" i="13" s="1"/>
  <c r="P105" i="13"/>
  <c r="X9" i="13" s="1"/>
  <c r="P106" i="13"/>
  <c r="X10" i="13" s="1"/>
  <c r="P107" i="13"/>
  <c r="X11" i="13" s="1"/>
  <c r="P108" i="13"/>
  <c r="X12" i="13" s="1"/>
  <c r="P109" i="13"/>
  <c r="X13" i="13" s="1"/>
  <c r="P110" i="13"/>
  <c r="X14" i="13" s="1"/>
  <c r="P111" i="13"/>
  <c r="X15" i="13" s="1"/>
  <c r="P112" i="13"/>
  <c r="X16" i="13" s="1"/>
  <c r="P113" i="13"/>
  <c r="X17" i="13" s="1"/>
  <c r="P114" i="13"/>
  <c r="Y6" i="13" s="1"/>
  <c r="P115" i="13"/>
  <c r="Y7" i="13" s="1"/>
  <c r="P116" i="13"/>
  <c r="Y8" i="13" s="1"/>
  <c r="P117" i="13"/>
  <c r="Y9" i="13" s="1"/>
  <c r="P118" i="13"/>
  <c r="Y10" i="13" s="1"/>
  <c r="P119" i="13"/>
  <c r="Y11" i="13" s="1"/>
  <c r="P120" i="13"/>
  <c r="Y12" i="13" s="1"/>
  <c r="P121" i="13"/>
  <c r="Y13" i="13" s="1"/>
  <c r="P122" i="13"/>
  <c r="Y14" i="13" s="1"/>
  <c r="P123" i="13"/>
  <c r="Y15" i="13" s="1"/>
  <c r="P124" i="13"/>
  <c r="Y16" i="13" s="1"/>
  <c r="P125" i="13"/>
  <c r="Y17" i="13" s="1"/>
  <c r="P126" i="13"/>
  <c r="Z6" i="13" s="1"/>
  <c r="P127" i="13"/>
  <c r="Z7" i="13" s="1"/>
  <c r="P128" i="13"/>
  <c r="Z8" i="13" s="1"/>
  <c r="P129" i="13"/>
  <c r="Z9" i="13" s="1"/>
  <c r="P130" i="13"/>
  <c r="Z10" i="13" s="1"/>
  <c r="P131" i="13"/>
  <c r="Z11" i="13" s="1"/>
  <c r="P132" i="13"/>
  <c r="Z12" i="13" s="1"/>
  <c r="P133" i="13"/>
  <c r="Z13" i="13" s="1"/>
  <c r="P134" i="13"/>
  <c r="Z14" i="13" s="1"/>
  <c r="P135" i="13"/>
  <c r="Z15" i="13" s="1"/>
  <c r="P136" i="13"/>
  <c r="Z16" i="13" s="1"/>
  <c r="P137" i="13"/>
  <c r="Z17" i="13" s="1"/>
  <c r="P138" i="13"/>
  <c r="AA6" i="13" s="1"/>
  <c r="P139" i="13"/>
  <c r="AA7" i="13" s="1"/>
  <c r="P140" i="13"/>
  <c r="AA8" i="13" s="1"/>
  <c r="P141" i="13"/>
  <c r="AA9" i="13" s="1"/>
  <c r="P142" i="13"/>
  <c r="AA10" i="13" s="1"/>
  <c r="P143" i="13"/>
  <c r="AA11" i="13" s="1"/>
  <c r="P144" i="13"/>
  <c r="AA12" i="13" s="1"/>
  <c r="P145" i="13"/>
  <c r="AA13" i="13" s="1"/>
  <c r="P146" i="13"/>
  <c r="AA14" i="13" s="1"/>
  <c r="P147" i="13"/>
  <c r="AA15" i="13" s="1"/>
  <c r="P148" i="13"/>
  <c r="AA16" i="13" s="1"/>
  <c r="P149" i="13"/>
  <c r="AA17" i="13" s="1"/>
  <c r="P150" i="13"/>
  <c r="AB6" i="13" s="1"/>
  <c r="P151" i="13"/>
  <c r="AB7" i="13" s="1"/>
  <c r="P152" i="13"/>
  <c r="AB8" i="13" s="1"/>
  <c r="P153" i="13"/>
  <c r="AB9" i="13" s="1"/>
  <c r="P154" i="13"/>
  <c r="AB10" i="13" s="1"/>
  <c r="P155" i="13"/>
  <c r="AB11" i="13" s="1"/>
  <c r="P156" i="13"/>
  <c r="AB12" i="13" s="1"/>
  <c r="P157" i="13"/>
  <c r="AB13" i="13" s="1"/>
  <c r="P158" i="13"/>
  <c r="AB14" i="13" s="1"/>
  <c r="P159" i="13"/>
  <c r="AB15" i="13" s="1"/>
  <c r="P160" i="13"/>
  <c r="AB16" i="13" s="1"/>
  <c r="P161" i="13"/>
  <c r="AB17" i="13" s="1"/>
  <c r="P162" i="13"/>
  <c r="AC6" i="13" s="1"/>
  <c r="P163" i="13"/>
  <c r="AC7" i="13" s="1"/>
  <c r="P164" i="13"/>
  <c r="AC8" i="13" s="1"/>
  <c r="P165" i="13"/>
  <c r="AC9" i="13" s="1"/>
  <c r="P166" i="13"/>
  <c r="AC10" i="13" s="1"/>
  <c r="P167" i="13"/>
  <c r="AC11" i="13" s="1"/>
  <c r="P168" i="13"/>
  <c r="AC12" i="13" s="1"/>
  <c r="P169" i="13"/>
  <c r="AC13" i="13" s="1"/>
  <c r="P170" i="13"/>
  <c r="AC14" i="13" s="1"/>
  <c r="P171" i="13"/>
  <c r="AC15" i="13" s="1"/>
  <c r="P172" i="13"/>
  <c r="AC16" i="13" s="1"/>
  <c r="P173" i="13"/>
  <c r="AC17" i="13" s="1"/>
  <c r="P174" i="13"/>
  <c r="AD6" i="13" s="1"/>
  <c r="P175" i="13"/>
  <c r="AD7" i="13" s="1"/>
  <c r="P176" i="13"/>
  <c r="AD8" i="13" s="1"/>
  <c r="P177" i="13"/>
  <c r="AD9" i="13" s="1"/>
  <c r="P178" i="13"/>
  <c r="AD10" i="13" s="1"/>
  <c r="P179" i="13"/>
  <c r="AD11" i="13" s="1"/>
  <c r="P180" i="13"/>
  <c r="AD12" i="13" s="1"/>
  <c r="P181" i="13"/>
  <c r="AD13" i="13" s="1"/>
  <c r="P182" i="13"/>
  <c r="AD14" i="13" s="1"/>
  <c r="P183" i="13"/>
  <c r="AD15" i="13" s="1"/>
  <c r="P184" i="13"/>
  <c r="AD16" i="13" s="1"/>
  <c r="P185" i="13"/>
  <c r="AD17" i="13" s="1"/>
  <c r="P186" i="13"/>
  <c r="AE6" i="13" s="1"/>
  <c r="P187" i="13"/>
  <c r="AE7" i="13" s="1"/>
  <c r="P188" i="13"/>
  <c r="AE8" i="13" s="1"/>
  <c r="P189" i="13"/>
  <c r="AE9" i="13" s="1"/>
  <c r="P190" i="13"/>
  <c r="AE10" i="13" s="1"/>
  <c r="P191" i="13"/>
  <c r="AE11" i="13" s="1"/>
  <c r="P192" i="13"/>
  <c r="AE12" i="13" s="1"/>
  <c r="P193" i="13"/>
  <c r="AE13" i="13" s="1"/>
  <c r="P194" i="13"/>
  <c r="AE14" i="13" s="1"/>
  <c r="P195" i="13"/>
  <c r="AE15" i="13" s="1"/>
  <c r="P196" i="13"/>
  <c r="AE16" i="13" s="1"/>
  <c r="P197" i="13"/>
  <c r="AE17" i="13" s="1"/>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AF30" i="17" l="1"/>
  <c r="AF24" i="17"/>
  <c r="AF33" i="17"/>
  <c r="AF34" i="17"/>
  <c r="AF26" i="17"/>
  <c r="AF23" i="17"/>
  <c r="AF29" i="17"/>
  <c r="AF32" i="17"/>
  <c r="AF25" i="17"/>
  <c r="AF28" i="17"/>
  <c r="AF20" i="17"/>
  <c r="AF13" i="13"/>
  <c r="O12" i="6" s="1"/>
  <c r="AF11" i="13"/>
  <c r="AF16" i="13"/>
  <c r="O15" i="6" s="1"/>
  <c r="AF14" i="13"/>
  <c r="O13" i="6" s="1"/>
  <c r="AF9" i="13"/>
  <c r="O8" i="6" s="1"/>
  <c r="AF17" i="13"/>
  <c r="O16" i="6" s="1"/>
  <c r="AF15" i="13"/>
  <c r="O14" i="6" s="1"/>
  <c r="AF8" i="13"/>
  <c r="O7" i="6" s="1"/>
  <c r="AF22" i="13"/>
  <c r="AF25" i="13"/>
  <c r="AF28" i="13"/>
  <c r="AF30" i="13"/>
  <c r="AF21" i="13"/>
  <c r="AF31" i="13"/>
  <c r="AF32" i="13"/>
  <c r="AF23" i="13"/>
  <c r="AF27" i="13"/>
  <c r="AF29" i="13"/>
  <c r="AF26" i="13"/>
  <c r="AF24" i="13"/>
  <c r="AG12" i="17"/>
  <c r="P23" i="6" s="1"/>
  <c r="AG19" i="17"/>
  <c r="P30" i="6" s="1"/>
  <c r="AG9" i="17"/>
  <c r="P20" i="6" s="1"/>
  <c r="AG16" i="17"/>
  <c r="P27" i="6" s="1"/>
  <c r="AG8" i="17"/>
  <c r="AG10" i="17"/>
  <c r="P21" i="6" s="1"/>
  <c r="AG13" i="17"/>
  <c r="P24" i="6" s="1"/>
  <c r="AG17" i="17"/>
  <c r="P28" i="6" s="1"/>
  <c r="AG11" i="17"/>
  <c r="P22" i="6" s="1"/>
  <c r="AG14" i="17"/>
  <c r="P25" i="6" s="1"/>
  <c r="AG18" i="17"/>
  <c r="P29" i="6" s="1"/>
  <c r="AG15" i="17"/>
  <c r="P26" i="6" s="1"/>
  <c r="AF12" i="13"/>
  <c r="O11" i="6" s="1"/>
  <c r="AF7" i="13"/>
  <c r="O6" i="6" s="1"/>
  <c r="AF10" i="13"/>
  <c r="O9" i="6" s="1"/>
  <c r="AF6" i="13"/>
  <c r="O5" i="6" s="1"/>
  <c r="AG22" i="17"/>
  <c r="AG5" i="13"/>
  <c r="AG17" i="13" s="1"/>
  <c r="P16" i="6" s="1"/>
  <c r="AG20" i="13"/>
  <c r="Q50" i="6"/>
  <c r="Q35" i="6"/>
  <c r="Q18" i="6"/>
  <c r="Q4" i="6"/>
  <c r="V16" i="8"/>
  <c r="S104" i="3"/>
  <c r="S132" i="3"/>
  <c r="S146" i="3"/>
  <c r="S90" i="3"/>
  <c r="S76" i="3"/>
  <c r="S58" i="3"/>
  <c r="AH22" i="17" s="1"/>
  <c r="S118" i="3"/>
  <c r="N16" i="6"/>
  <c r="N8" i="6"/>
  <c r="M12" i="6"/>
  <c r="L16" i="6"/>
  <c r="L8" i="6"/>
  <c r="K12" i="6"/>
  <c r="J16" i="6"/>
  <c r="J8" i="6"/>
  <c r="I12" i="6"/>
  <c r="H16" i="6"/>
  <c r="H8" i="6"/>
  <c r="G12" i="6"/>
  <c r="F16" i="6"/>
  <c r="F8" i="6"/>
  <c r="E12" i="6"/>
  <c r="D16" i="6"/>
  <c r="D8" i="6"/>
  <c r="C12" i="6"/>
  <c r="N15" i="6"/>
  <c r="N7" i="6"/>
  <c r="M11" i="6"/>
  <c r="L15" i="6"/>
  <c r="L7" i="6"/>
  <c r="K11" i="6"/>
  <c r="J15" i="6"/>
  <c r="J7" i="6"/>
  <c r="I11" i="6"/>
  <c r="H15" i="6"/>
  <c r="H7" i="6"/>
  <c r="G11" i="6"/>
  <c r="F15" i="6"/>
  <c r="F7" i="6"/>
  <c r="E11" i="6"/>
  <c r="D15" i="6"/>
  <c r="D7" i="6"/>
  <c r="C11" i="6"/>
  <c r="N14" i="6"/>
  <c r="N6" i="6"/>
  <c r="M10" i="6"/>
  <c r="L14" i="6"/>
  <c r="L6" i="6"/>
  <c r="J14" i="6"/>
  <c r="J6" i="6"/>
  <c r="I10" i="6"/>
  <c r="H14" i="6"/>
  <c r="H6" i="6"/>
  <c r="G10" i="6"/>
  <c r="F14" i="6"/>
  <c r="F6" i="6"/>
  <c r="E10" i="6"/>
  <c r="D14" i="6"/>
  <c r="D6" i="6"/>
  <c r="N13" i="6"/>
  <c r="N5" i="6"/>
  <c r="M9" i="6"/>
  <c r="L13" i="6"/>
  <c r="L5" i="6"/>
  <c r="K9" i="6"/>
  <c r="J13" i="6"/>
  <c r="J5" i="6"/>
  <c r="I9" i="6"/>
  <c r="H13" i="6"/>
  <c r="H5" i="6"/>
  <c r="G9" i="6"/>
  <c r="F13" i="6"/>
  <c r="F5" i="6"/>
  <c r="D13" i="6"/>
  <c r="D5" i="6"/>
  <c r="C9" i="6"/>
  <c r="N12" i="6"/>
  <c r="M16" i="6"/>
  <c r="M8" i="6"/>
  <c r="L12" i="6"/>
  <c r="K16" i="6"/>
  <c r="K8" i="6"/>
  <c r="J12" i="6"/>
  <c r="I16" i="6"/>
  <c r="I8" i="6"/>
  <c r="H12" i="6"/>
  <c r="G16" i="6"/>
  <c r="G8" i="6"/>
  <c r="F12" i="6"/>
  <c r="E16" i="6"/>
  <c r="E8" i="6"/>
  <c r="D12" i="6"/>
  <c r="C16" i="6"/>
  <c r="C8" i="6"/>
  <c r="N11" i="6"/>
  <c r="M15" i="6"/>
  <c r="M7" i="6"/>
  <c r="L11" i="6"/>
  <c r="K15" i="6"/>
  <c r="K7" i="6"/>
  <c r="I15" i="6"/>
  <c r="I7" i="6"/>
  <c r="H11" i="6"/>
  <c r="G15" i="6"/>
  <c r="G7" i="6"/>
  <c r="F11" i="6"/>
  <c r="E15" i="6"/>
  <c r="E7" i="6"/>
  <c r="D11" i="6"/>
  <c r="C15" i="6"/>
  <c r="C7" i="6"/>
  <c r="N10" i="6"/>
  <c r="M14" i="6"/>
  <c r="M6" i="6"/>
  <c r="L10" i="6"/>
  <c r="K14" i="6"/>
  <c r="K6" i="6"/>
  <c r="J10" i="6"/>
  <c r="I14" i="6"/>
  <c r="I6" i="6"/>
  <c r="H10" i="6"/>
  <c r="G14" i="6"/>
  <c r="G6" i="6"/>
  <c r="F10" i="6"/>
  <c r="E14" i="6"/>
  <c r="E6" i="6"/>
  <c r="D10" i="6"/>
  <c r="C14" i="6"/>
  <c r="C6" i="6"/>
  <c r="N9" i="6"/>
  <c r="M13" i="6"/>
  <c r="K13" i="6"/>
  <c r="K5" i="6"/>
  <c r="J9" i="6"/>
  <c r="I13" i="6"/>
  <c r="I5" i="6"/>
  <c r="H9" i="6"/>
  <c r="G13" i="6"/>
  <c r="E13" i="6"/>
  <c r="E5" i="6"/>
  <c r="C13" i="6"/>
  <c r="C5" i="6"/>
  <c r="T46" i="3"/>
  <c r="S48" i="3"/>
  <c r="C18" i="15"/>
  <c r="AH5" i="13" l="1"/>
  <c r="AH8" i="13" s="1"/>
  <c r="Q7" i="6" s="1"/>
  <c r="AH10" i="13"/>
  <c r="Q9" i="6" s="1"/>
  <c r="AG14" i="13"/>
  <c r="P13" i="6" s="1"/>
  <c r="AG6" i="13"/>
  <c r="P5" i="6" s="1"/>
  <c r="AG9" i="13"/>
  <c r="P8" i="6" s="1"/>
  <c r="AG20" i="17"/>
  <c r="P19" i="6"/>
  <c r="P51" i="6" s="1"/>
  <c r="AG8" i="13"/>
  <c r="P7" i="6" s="1"/>
  <c r="AG16" i="13"/>
  <c r="P15" i="6" s="1"/>
  <c r="AG10" i="13"/>
  <c r="P9" i="6" s="1"/>
  <c r="AG15" i="13"/>
  <c r="P14" i="6" s="1"/>
  <c r="AG13" i="13"/>
  <c r="P12" i="6" s="1"/>
  <c r="AG25" i="17"/>
  <c r="AG32" i="17"/>
  <c r="AG29" i="17"/>
  <c r="AG30" i="17"/>
  <c r="AG26" i="17"/>
  <c r="AG33" i="17"/>
  <c r="AG27" i="17"/>
  <c r="AG24" i="17"/>
  <c r="AG23" i="17"/>
  <c r="AG31" i="17"/>
  <c r="AG28" i="17"/>
  <c r="AG34" i="17"/>
  <c r="AH28" i="17"/>
  <c r="AH25" i="17"/>
  <c r="AH32" i="17"/>
  <c r="AH30" i="17"/>
  <c r="AH29" i="17"/>
  <c r="AH26" i="17"/>
  <c r="AH33" i="17"/>
  <c r="AH27" i="17"/>
  <c r="AH34" i="17"/>
  <c r="AH31" i="17"/>
  <c r="AH23" i="17"/>
  <c r="AH24" i="17"/>
  <c r="AG12" i="13"/>
  <c r="P11" i="6" s="1"/>
  <c r="AG11" i="13"/>
  <c r="P10" i="6" s="1"/>
  <c r="AG22" i="13"/>
  <c r="AG29" i="13"/>
  <c r="AG32" i="13"/>
  <c r="AG23" i="13"/>
  <c r="AG21" i="13"/>
  <c r="AG31" i="13"/>
  <c r="AG28" i="13"/>
  <c r="AG24" i="13"/>
  <c r="AG25" i="13"/>
  <c r="AG30" i="13"/>
  <c r="AG26" i="13"/>
  <c r="AG27" i="13"/>
  <c r="AG7" i="13"/>
  <c r="P6" i="6" s="1"/>
  <c r="R35" i="6"/>
  <c r="R18" i="6"/>
  <c r="R50" i="6"/>
  <c r="R4" i="6"/>
  <c r="AH7" i="17"/>
  <c r="AH20" i="13"/>
  <c r="W16" i="8"/>
  <c r="T58" i="3"/>
  <c r="AI5" i="13" s="1"/>
  <c r="T90" i="3"/>
  <c r="T132" i="3"/>
  <c r="T104" i="3"/>
  <c r="T146" i="3"/>
  <c r="T118" i="3"/>
  <c r="T76" i="3"/>
  <c r="C23" i="15"/>
  <c r="AF18" i="13"/>
  <c r="U18" i="13"/>
  <c r="W18" i="13"/>
  <c r="X18" i="13"/>
  <c r="AC18" i="13"/>
  <c r="AD18" i="13"/>
  <c r="F9" i="6"/>
  <c r="Z18" i="13"/>
  <c r="T18" i="13"/>
  <c r="AB18" i="13"/>
  <c r="AA18" i="13"/>
  <c r="C10" i="6"/>
  <c r="K10" i="6"/>
  <c r="D9" i="6"/>
  <c r="G5" i="6"/>
  <c r="L9" i="6"/>
  <c r="J11" i="6"/>
  <c r="M5" i="6"/>
  <c r="O10" i="6"/>
  <c r="V18" i="13"/>
  <c r="E9" i="6"/>
  <c r="AE18" i="13"/>
  <c r="Y18" i="13"/>
  <c r="P56" i="6"/>
  <c r="P53" i="6"/>
  <c r="P58" i="6"/>
  <c r="P59" i="6"/>
  <c r="P55" i="6"/>
  <c r="P62" i="6"/>
  <c r="P54" i="6"/>
  <c r="P52" i="6"/>
  <c r="P57" i="6"/>
  <c r="P61" i="6"/>
  <c r="P60" i="6"/>
  <c r="U46" i="3"/>
  <c r="T48" i="3"/>
  <c r="AH6" i="13" l="1"/>
  <c r="Q5" i="6" s="1"/>
  <c r="AH15" i="13"/>
  <c r="Q14" i="6" s="1"/>
  <c r="AH9" i="13"/>
  <c r="Q8" i="6" s="1"/>
  <c r="AH13" i="13"/>
  <c r="Q12" i="6" s="1"/>
  <c r="AH17" i="13"/>
  <c r="Q16" i="6" s="1"/>
  <c r="AH14" i="13"/>
  <c r="Q13" i="6" s="1"/>
  <c r="AH7" i="13"/>
  <c r="Q6" i="6" s="1"/>
  <c r="AH11" i="13"/>
  <c r="Q10" i="6" s="1"/>
  <c r="AH16" i="13"/>
  <c r="Q15" i="6" s="1"/>
  <c r="AH12" i="13"/>
  <c r="Q11" i="6" s="1"/>
  <c r="AI7" i="17"/>
  <c r="AI19" i="17" s="1"/>
  <c r="R30" i="6" s="1"/>
  <c r="AI22" i="17"/>
  <c r="AI28" i="17" s="1"/>
  <c r="AI20" i="13"/>
  <c r="AI30" i="13" s="1"/>
  <c r="AH24" i="13"/>
  <c r="AH26" i="13"/>
  <c r="AH30" i="13"/>
  <c r="AH29" i="13"/>
  <c r="AH31" i="13"/>
  <c r="AH22" i="13"/>
  <c r="AH27" i="13"/>
  <c r="AH25" i="13"/>
  <c r="AH23" i="13"/>
  <c r="AH32" i="13"/>
  <c r="AH21" i="13"/>
  <c r="AH28" i="13"/>
  <c r="AH15" i="17"/>
  <c r="Q26" i="6" s="1"/>
  <c r="Q58" i="6" s="1"/>
  <c r="AH8" i="17"/>
  <c r="AH12" i="17"/>
  <c r="Q23" i="6" s="1"/>
  <c r="Q55" i="6" s="1"/>
  <c r="AH19" i="17"/>
  <c r="Q30" i="6" s="1"/>
  <c r="Q62" i="6" s="1"/>
  <c r="AH9" i="17"/>
  <c r="Q20" i="6" s="1"/>
  <c r="Q52" i="6" s="1"/>
  <c r="AH16" i="17"/>
  <c r="Q27" i="6" s="1"/>
  <c r="Q59" i="6" s="1"/>
  <c r="AH17" i="17"/>
  <c r="Q28" i="6" s="1"/>
  <c r="Q60" i="6" s="1"/>
  <c r="AH13" i="17"/>
  <c r="Q24" i="6" s="1"/>
  <c r="Q56" i="6" s="1"/>
  <c r="AH10" i="17"/>
  <c r="Q21" i="6" s="1"/>
  <c r="Q53" i="6" s="1"/>
  <c r="AH14" i="17"/>
  <c r="Q25" i="6" s="1"/>
  <c r="Q57" i="6" s="1"/>
  <c r="AH11" i="17"/>
  <c r="Q22" i="6" s="1"/>
  <c r="Q54" i="6" s="1"/>
  <c r="AH18" i="17"/>
  <c r="Q29" i="6" s="1"/>
  <c r="Q61" i="6" s="1"/>
  <c r="AI6" i="13"/>
  <c r="R5" i="6" s="1"/>
  <c r="AI12" i="13"/>
  <c r="R11" i="6" s="1"/>
  <c r="AI14" i="13"/>
  <c r="R13" i="6" s="1"/>
  <c r="AI7" i="13"/>
  <c r="R6" i="6" s="1"/>
  <c r="AI11" i="13"/>
  <c r="R10" i="6" s="1"/>
  <c r="AI15" i="13"/>
  <c r="R14" i="6" s="1"/>
  <c r="AI13" i="13"/>
  <c r="R12" i="6" s="1"/>
  <c r="AI8" i="13"/>
  <c r="R7" i="6" s="1"/>
  <c r="AI9" i="13"/>
  <c r="R8" i="6" s="1"/>
  <c r="AI10" i="13"/>
  <c r="R9" i="6" s="1"/>
  <c r="AI16" i="13"/>
  <c r="R15" i="6" s="1"/>
  <c r="AI17" i="13"/>
  <c r="R16" i="6" s="1"/>
  <c r="AG18" i="13"/>
  <c r="S35" i="6"/>
  <c r="S18" i="6"/>
  <c r="S50" i="6"/>
  <c r="S4" i="6"/>
  <c r="X16" i="8"/>
  <c r="U90" i="3"/>
  <c r="U76" i="3"/>
  <c r="U104" i="3"/>
  <c r="U58" i="3"/>
  <c r="AJ20" i="13" s="1"/>
  <c r="U146" i="3"/>
  <c r="U132" i="3"/>
  <c r="U118" i="3"/>
  <c r="E6" i="15"/>
  <c r="C6" i="15" s="1"/>
  <c r="D6" i="15"/>
  <c r="C9" i="15"/>
  <c r="V46" i="3"/>
  <c r="U48" i="3"/>
  <c r="AI32" i="17" l="1"/>
  <c r="AI16" i="17"/>
  <c r="R27" i="6" s="1"/>
  <c r="AI15" i="17"/>
  <c r="R26" i="6" s="1"/>
  <c r="AI23" i="13"/>
  <c r="AI18" i="17"/>
  <c r="R29" i="6" s="1"/>
  <c r="R61" i="6" s="1"/>
  <c r="AI29" i="13"/>
  <c r="AI12" i="17"/>
  <c r="R23" i="6" s="1"/>
  <c r="R55" i="6" s="1"/>
  <c r="AI31" i="13"/>
  <c r="AI8" i="17"/>
  <c r="R19" i="6" s="1"/>
  <c r="R51" i="6" s="1"/>
  <c r="AI10" i="17"/>
  <c r="R21" i="6" s="1"/>
  <c r="R53" i="6" s="1"/>
  <c r="AI9" i="17"/>
  <c r="R20" i="6" s="1"/>
  <c r="R52" i="6" s="1"/>
  <c r="AI17" i="17"/>
  <c r="R28" i="6" s="1"/>
  <c r="R60" i="6" s="1"/>
  <c r="AI11" i="17"/>
  <c r="R22" i="6" s="1"/>
  <c r="R54" i="6" s="1"/>
  <c r="AI14" i="17"/>
  <c r="R25" i="6" s="1"/>
  <c r="R57" i="6" s="1"/>
  <c r="AI13" i="17"/>
  <c r="R24" i="6" s="1"/>
  <c r="R56" i="6" s="1"/>
  <c r="AI33" i="17"/>
  <c r="AI23" i="17"/>
  <c r="AI31" i="17"/>
  <c r="AI24" i="17"/>
  <c r="AI30" i="17"/>
  <c r="AI34" i="17"/>
  <c r="AI27" i="17"/>
  <c r="AI29" i="17"/>
  <c r="AI25" i="13"/>
  <c r="AI28" i="13"/>
  <c r="AI27" i="13"/>
  <c r="AI24" i="13"/>
  <c r="AI32" i="13"/>
  <c r="AI21" i="13"/>
  <c r="AI26" i="13"/>
  <c r="AI22" i="13"/>
  <c r="AH18" i="13"/>
  <c r="AI26" i="17"/>
  <c r="AI25" i="17"/>
  <c r="AJ7" i="17"/>
  <c r="AJ16" i="17" s="1"/>
  <c r="S27" i="6" s="1"/>
  <c r="Q19" i="6"/>
  <c r="Q51" i="6" s="1"/>
  <c r="AH20" i="17"/>
  <c r="AJ11" i="17"/>
  <c r="S22" i="6" s="1"/>
  <c r="AJ18" i="17"/>
  <c r="S29" i="6" s="1"/>
  <c r="AJ15" i="17"/>
  <c r="S26" i="6" s="1"/>
  <c r="AJ12" i="17"/>
  <c r="S23" i="6" s="1"/>
  <c r="AJ30" i="13"/>
  <c r="AJ31" i="13"/>
  <c r="AJ29" i="13"/>
  <c r="AJ26" i="13"/>
  <c r="AJ25" i="13"/>
  <c r="AJ22" i="13"/>
  <c r="AJ32" i="13"/>
  <c r="AJ21" i="13"/>
  <c r="AJ23" i="13"/>
  <c r="AJ24" i="13"/>
  <c r="AJ28" i="13"/>
  <c r="AJ27" i="13"/>
  <c r="AJ22" i="17"/>
  <c r="T35" i="6"/>
  <c r="T18" i="6"/>
  <c r="T50" i="6"/>
  <c r="T4" i="6"/>
  <c r="AJ5" i="13"/>
  <c r="Y16" i="8"/>
  <c r="V104" i="3"/>
  <c r="V146" i="3"/>
  <c r="V58" i="3"/>
  <c r="AK20" i="13" s="1"/>
  <c r="V90" i="3"/>
  <c r="V132" i="3"/>
  <c r="V76" i="3"/>
  <c r="V118" i="3"/>
  <c r="R59" i="6"/>
  <c r="R62" i="6"/>
  <c r="AI18" i="13"/>
  <c r="R58" i="6"/>
  <c r="W46" i="3"/>
  <c r="V48" i="3"/>
  <c r="AI20" i="17" l="1"/>
  <c r="AJ17" i="17"/>
  <c r="S28" i="6" s="1"/>
  <c r="S60" i="6" s="1"/>
  <c r="AJ10" i="17"/>
  <c r="S21" i="6" s="1"/>
  <c r="S53" i="6" s="1"/>
  <c r="AJ14" i="17"/>
  <c r="S25" i="6" s="1"/>
  <c r="S57" i="6" s="1"/>
  <c r="AJ9" i="17"/>
  <c r="S20" i="6" s="1"/>
  <c r="S52" i="6" s="1"/>
  <c r="AJ8" i="17"/>
  <c r="S19" i="6" s="1"/>
  <c r="S51" i="6" s="1"/>
  <c r="AJ19" i="17"/>
  <c r="S30" i="6" s="1"/>
  <c r="S62" i="6" s="1"/>
  <c r="AJ13" i="17"/>
  <c r="S24" i="6" s="1"/>
  <c r="S56" i="6" s="1"/>
  <c r="AK25" i="13"/>
  <c r="AK23" i="13"/>
  <c r="AK32" i="13"/>
  <c r="AK29" i="13"/>
  <c r="AK30" i="13"/>
  <c r="AK22" i="13"/>
  <c r="AK31" i="13"/>
  <c r="AK26" i="13"/>
  <c r="AK21" i="13"/>
  <c r="AK24" i="13"/>
  <c r="AK28" i="13"/>
  <c r="AK27" i="13"/>
  <c r="AJ24" i="17"/>
  <c r="AJ31" i="17"/>
  <c r="AJ23" i="17"/>
  <c r="AJ28" i="17"/>
  <c r="AJ25" i="17"/>
  <c r="AJ32" i="17"/>
  <c r="AJ26" i="17"/>
  <c r="AJ33" i="17"/>
  <c r="AJ29" i="17"/>
  <c r="AJ30" i="17"/>
  <c r="AJ34" i="17"/>
  <c r="AJ27" i="17"/>
  <c r="AJ17" i="13"/>
  <c r="S16" i="6" s="1"/>
  <c r="S47" i="6" s="1"/>
  <c r="U88" i="3" s="1"/>
  <c r="AJ15" i="13"/>
  <c r="S14" i="6" s="1"/>
  <c r="S45" i="6" s="1"/>
  <c r="U86" i="3" s="1"/>
  <c r="AJ10" i="13"/>
  <c r="S9" i="6" s="1"/>
  <c r="S40" i="6" s="1"/>
  <c r="U81" i="3" s="1"/>
  <c r="AJ13" i="13"/>
  <c r="S12" i="6" s="1"/>
  <c r="S43" i="6" s="1"/>
  <c r="U84" i="3" s="1"/>
  <c r="AJ16" i="13"/>
  <c r="S15" i="6" s="1"/>
  <c r="S46" i="6" s="1"/>
  <c r="U87" i="3" s="1"/>
  <c r="AJ12" i="13"/>
  <c r="S11" i="6" s="1"/>
  <c r="S42" i="6" s="1"/>
  <c r="U83" i="3" s="1"/>
  <c r="AJ6" i="13"/>
  <c r="S5" i="6" s="1"/>
  <c r="S36" i="6" s="1"/>
  <c r="AJ14" i="13"/>
  <c r="S13" i="6" s="1"/>
  <c r="S44" i="6" s="1"/>
  <c r="U85" i="3" s="1"/>
  <c r="AJ11" i="13"/>
  <c r="S10" i="6" s="1"/>
  <c r="S41" i="6" s="1"/>
  <c r="U82" i="3" s="1"/>
  <c r="AJ8" i="13"/>
  <c r="S7" i="6" s="1"/>
  <c r="S38" i="6" s="1"/>
  <c r="U79" i="3" s="1"/>
  <c r="AJ7" i="13"/>
  <c r="S6" i="6" s="1"/>
  <c r="S37" i="6" s="1"/>
  <c r="U78" i="3" s="1"/>
  <c r="AJ9" i="13"/>
  <c r="S8" i="6" s="1"/>
  <c r="S39" i="6" s="1"/>
  <c r="U80" i="3" s="1"/>
  <c r="AK22" i="17"/>
  <c r="U35" i="6"/>
  <c r="U4" i="6"/>
  <c r="U18" i="6"/>
  <c r="U50" i="6"/>
  <c r="AK5" i="13"/>
  <c r="AK7" i="17"/>
  <c r="Z16" i="8"/>
  <c r="W76" i="3"/>
  <c r="W118" i="3"/>
  <c r="W146" i="3"/>
  <c r="W90" i="3"/>
  <c r="W58" i="3"/>
  <c r="AL22" i="17" s="1"/>
  <c r="W132" i="3"/>
  <c r="W104" i="3"/>
  <c r="S61" i="6"/>
  <c r="S55" i="6"/>
  <c r="S54" i="6"/>
  <c r="S59" i="6"/>
  <c r="S58" i="6"/>
  <c r="X46" i="3"/>
  <c r="W48" i="3"/>
  <c r="R37" i="6"/>
  <c r="T78" i="3" s="1"/>
  <c r="R40" i="6"/>
  <c r="T81" i="3" s="1"/>
  <c r="R43" i="6"/>
  <c r="T84" i="3" s="1"/>
  <c r="R46" i="6"/>
  <c r="T87" i="3" s="1"/>
  <c r="R36" i="6"/>
  <c r="R39" i="6"/>
  <c r="T80" i="3" s="1"/>
  <c r="R42" i="6"/>
  <c r="T83" i="3" s="1"/>
  <c r="R45" i="6"/>
  <c r="T86" i="3" s="1"/>
  <c r="R38" i="6"/>
  <c r="T79" i="3" s="1"/>
  <c r="R41" i="6"/>
  <c r="T82" i="3" s="1"/>
  <c r="R44" i="6"/>
  <c r="T85" i="3" s="1"/>
  <c r="R47" i="6"/>
  <c r="T88" i="3" s="1"/>
  <c r="AJ20" i="17" l="1"/>
  <c r="AL7" i="17"/>
  <c r="AL16" i="17" s="1"/>
  <c r="U27" i="6" s="1"/>
  <c r="U77" i="3"/>
  <c r="S48" i="6"/>
  <c r="T77" i="3"/>
  <c r="R48" i="6"/>
  <c r="AL5" i="13"/>
  <c r="AL13" i="13" s="1"/>
  <c r="U12" i="6" s="1"/>
  <c r="AL18" i="17"/>
  <c r="U29" i="6" s="1"/>
  <c r="AL9" i="17"/>
  <c r="U20" i="6" s="1"/>
  <c r="AL15" i="17"/>
  <c r="U26" i="6" s="1"/>
  <c r="AL19" i="17"/>
  <c r="U30" i="6" s="1"/>
  <c r="AL13" i="17"/>
  <c r="U24" i="6" s="1"/>
  <c r="AL27" i="17"/>
  <c r="AL34" i="17"/>
  <c r="AL24" i="17"/>
  <c r="AL31" i="17"/>
  <c r="AL23" i="17"/>
  <c r="AL28" i="17"/>
  <c r="AL29" i="17"/>
  <c r="AL25" i="17"/>
  <c r="AL32" i="17"/>
  <c r="AL26" i="17"/>
  <c r="AL33" i="17"/>
  <c r="AL30" i="17"/>
  <c r="AK11" i="17"/>
  <c r="T22" i="6" s="1"/>
  <c r="T54" i="6" s="1"/>
  <c r="AK18" i="17"/>
  <c r="T29" i="6" s="1"/>
  <c r="T61" i="6" s="1"/>
  <c r="AK15" i="17"/>
  <c r="T26" i="6" s="1"/>
  <c r="T58" i="6" s="1"/>
  <c r="AK8" i="17"/>
  <c r="T19" i="6" s="1"/>
  <c r="T51" i="6" s="1"/>
  <c r="AK12" i="17"/>
  <c r="T23" i="6" s="1"/>
  <c r="T55" i="6" s="1"/>
  <c r="AK19" i="17"/>
  <c r="T30" i="6" s="1"/>
  <c r="T62" i="6" s="1"/>
  <c r="AK9" i="17"/>
  <c r="T20" i="6" s="1"/>
  <c r="T52" i="6" s="1"/>
  <c r="AK16" i="17"/>
  <c r="T27" i="6" s="1"/>
  <c r="T59" i="6" s="1"/>
  <c r="AK17" i="17"/>
  <c r="T28" i="6" s="1"/>
  <c r="T60" i="6" s="1"/>
  <c r="AK14" i="17"/>
  <c r="T25" i="6" s="1"/>
  <c r="T57" i="6" s="1"/>
  <c r="AK10" i="17"/>
  <c r="T21" i="6" s="1"/>
  <c r="T53" i="6" s="1"/>
  <c r="AK13" i="17"/>
  <c r="T24" i="6" s="1"/>
  <c r="T56" i="6" s="1"/>
  <c r="AK8" i="13"/>
  <c r="T7" i="6" s="1"/>
  <c r="T38" i="6" s="1"/>
  <c r="V79" i="3" s="1"/>
  <c r="AK11" i="13"/>
  <c r="T10" i="6" s="1"/>
  <c r="T41" i="6" s="1"/>
  <c r="V82" i="3" s="1"/>
  <c r="AK9" i="13"/>
  <c r="T8" i="6" s="1"/>
  <c r="T39" i="6" s="1"/>
  <c r="V80" i="3" s="1"/>
  <c r="AK17" i="13"/>
  <c r="T16" i="6" s="1"/>
  <c r="T47" i="6" s="1"/>
  <c r="V88" i="3" s="1"/>
  <c r="AK13" i="13"/>
  <c r="T12" i="6" s="1"/>
  <c r="T43" i="6" s="1"/>
  <c r="V84" i="3" s="1"/>
  <c r="AK16" i="13"/>
  <c r="T15" i="6" s="1"/>
  <c r="T46" i="6" s="1"/>
  <c r="V87" i="3" s="1"/>
  <c r="AK7" i="13"/>
  <c r="T6" i="6" s="1"/>
  <c r="T37" i="6" s="1"/>
  <c r="V78" i="3" s="1"/>
  <c r="AK15" i="13"/>
  <c r="T14" i="6" s="1"/>
  <c r="T45" i="6" s="1"/>
  <c r="V86" i="3" s="1"/>
  <c r="AK12" i="13"/>
  <c r="T11" i="6" s="1"/>
  <c r="T42" i="6" s="1"/>
  <c r="V83" i="3" s="1"/>
  <c r="AK14" i="13"/>
  <c r="T13" i="6" s="1"/>
  <c r="T44" i="6" s="1"/>
  <c r="V85" i="3" s="1"/>
  <c r="AK6" i="13"/>
  <c r="T5" i="6" s="1"/>
  <c r="T36" i="6" s="1"/>
  <c r="AK10" i="13"/>
  <c r="T9" i="6" s="1"/>
  <c r="T40" i="6" s="1"/>
  <c r="V81" i="3" s="1"/>
  <c r="AK24" i="17"/>
  <c r="AK31" i="17"/>
  <c r="AK23" i="17"/>
  <c r="AK28" i="17"/>
  <c r="AK26" i="17"/>
  <c r="AK29" i="17"/>
  <c r="AK25" i="17"/>
  <c r="AK32" i="17"/>
  <c r="AK33" i="17"/>
  <c r="AK30" i="17"/>
  <c r="AK27" i="17"/>
  <c r="AK34" i="17"/>
  <c r="AL16" i="13"/>
  <c r="U15" i="6" s="1"/>
  <c r="AL12" i="13"/>
  <c r="U11" i="6" s="1"/>
  <c r="AL14" i="13"/>
  <c r="U13" i="6" s="1"/>
  <c r="AL9" i="13"/>
  <c r="U8" i="6" s="1"/>
  <c r="AJ18" i="13"/>
  <c r="AL20" i="13"/>
  <c r="V4" i="6"/>
  <c r="V18" i="6"/>
  <c r="V50" i="6"/>
  <c r="V35" i="6"/>
  <c r="AA16" i="8"/>
  <c r="X146" i="3"/>
  <c r="X132" i="3"/>
  <c r="X118" i="3"/>
  <c r="X90" i="3"/>
  <c r="X58" i="3"/>
  <c r="AM7" i="17" s="1"/>
  <c r="X76" i="3"/>
  <c r="X104" i="3"/>
  <c r="Y46" i="3"/>
  <c r="X48" i="3"/>
  <c r="M36" i="6"/>
  <c r="C36" i="6"/>
  <c r="D37" i="6"/>
  <c r="F78" i="3" s="1"/>
  <c r="D36" i="6"/>
  <c r="C37" i="6"/>
  <c r="E78" i="3" s="1"/>
  <c r="L39" i="6"/>
  <c r="N80" i="3" s="1"/>
  <c r="AL6" i="13" l="1"/>
  <c r="U5" i="6" s="1"/>
  <c r="AL17" i="13"/>
  <c r="U16" i="6" s="1"/>
  <c r="AL11" i="17"/>
  <c r="U22" i="6" s="1"/>
  <c r="AL14" i="17"/>
  <c r="U25" i="6" s="1"/>
  <c r="U57" i="6" s="1"/>
  <c r="AL8" i="17"/>
  <c r="U19" i="6" s="1"/>
  <c r="U51" i="6" s="1"/>
  <c r="AL10" i="17"/>
  <c r="U21" i="6" s="1"/>
  <c r="U53" i="6" s="1"/>
  <c r="AL17" i="17"/>
  <c r="U28" i="6" s="1"/>
  <c r="U60" i="6" s="1"/>
  <c r="AL7" i="13"/>
  <c r="U6" i="6" s="1"/>
  <c r="U37" i="6" s="1"/>
  <c r="W78" i="3" s="1"/>
  <c r="AL11" i="13"/>
  <c r="U10" i="6" s="1"/>
  <c r="U41" i="6" s="1"/>
  <c r="W82" i="3" s="1"/>
  <c r="AL15" i="13"/>
  <c r="U14" i="6" s="1"/>
  <c r="U45" i="6" s="1"/>
  <c r="W86" i="3" s="1"/>
  <c r="AL8" i="13"/>
  <c r="U7" i="6" s="1"/>
  <c r="U38" i="6" s="1"/>
  <c r="W79" i="3" s="1"/>
  <c r="AL10" i="13"/>
  <c r="U9" i="6" s="1"/>
  <c r="U40" i="6" s="1"/>
  <c r="W81" i="3" s="1"/>
  <c r="AL12" i="17"/>
  <c r="U23" i="6" s="1"/>
  <c r="U55" i="6" s="1"/>
  <c r="AM22" i="17"/>
  <c r="AM24" i="17" s="1"/>
  <c r="E77" i="3"/>
  <c r="F77" i="3"/>
  <c r="V77" i="3"/>
  <c r="T48" i="6"/>
  <c r="O77" i="3"/>
  <c r="AK20" i="17"/>
  <c r="AM14" i="17"/>
  <c r="V25" i="6" s="1"/>
  <c r="AM19" i="17"/>
  <c r="V30" i="6" s="1"/>
  <c r="AM11" i="17"/>
  <c r="V22" i="6" s="1"/>
  <c r="AM18" i="17"/>
  <c r="V29" i="6" s="1"/>
  <c r="AM12" i="17"/>
  <c r="V23" i="6" s="1"/>
  <c r="AM15" i="17"/>
  <c r="V26" i="6" s="1"/>
  <c r="AM8" i="17"/>
  <c r="V19" i="6" s="1"/>
  <c r="AM10" i="17"/>
  <c r="V21" i="6" s="1"/>
  <c r="AM13" i="17"/>
  <c r="V24" i="6" s="1"/>
  <c r="AM17" i="17"/>
  <c r="V28" i="6" s="1"/>
  <c r="AM16" i="17"/>
  <c r="V27" i="6" s="1"/>
  <c r="AM9" i="17"/>
  <c r="V20" i="6" s="1"/>
  <c r="AL22" i="13"/>
  <c r="AL24" i="13"/>
  <c r="AL25" i="13"/>
  <c r="AL30" i="13"/>
  <c r="AL26" i="13"/>
  <c r="AL28" i="13"/>
  <c r="AL29" i="13"/>
  <c r="AL31" i="13"/>
  <c r="AL27" i="13"/>
  <c r="AL21" i="13"/>
  <c r="AL32" i="13"/>
  <c r="AL23" i="13"/>
  <c r="AK18" i="13"/>
  <c r="AM5" i="13"/>
  <c r="W18" i="6"/>
  <c r="W4" i="6"/>
  <c r="W50" i="6"/>
  <c r="W35" i="6"/>
  <c r="AM20" i="13"/>
  <c r="AB16" i="8"/>
  <c r="Y132" i="3"/>
  <c r="Y76" i="3"/>
  <c r="Y90" i="3"/>
  <c r="Y58" i="3"/>
  <c r="AN5" i="13" s="1"/>
  <c r="Y118" i="3"/>
  <c r="Y146" i="3"/>
  <c r="Y104" i="3"/>
  <c r="U54" i="6"/>
  <c r="U61" i="6"/>
  <c r="U59" i="6"/>
  <c r="U58" i="6"/>
  <c r="U44" i="6"/>
  <c r="W85" i="3" s="1"/>
  <c r="U39" i="6"/>
  <c r="W80" i="3" s="1"/>
  <c r="U52" i="6"/>
  <c r="U62" i="6"/>
  <c r="U56" i="6"/>
  <c r="U42" i="6"/>
  <c r="W83" i="3" s="1"/>
  <c r="U47" i="6"/>
  <c r="W88" i="3" s="1"/>
  <c r="U36" i="6"/>
  <c r="U43" i="6"/>
  <c r="W84" i="3" s="1"/>
  <c r="U46" i="6"/>
  <c r="W87" i="3" s="1"/>
  <c r="Z46" i="3"/>
  <c r="Y48" i="3"/>
  <c r="N47" i="6"/>
  <c r="P88" i="3" s="1"/>
  <c r="O40" i="6"/>
  <c r="Q81" i="3" s="1"/>
  <c r="M47" i="6"/>
  <c r="O88" i="3" s="1"/>
  <c r="K46" i="6"/>
  <c r="M87" i="3" s="1"/>
  <c r="L47" i="6"/>
  <c r="N88" i="3" s="1"/>
  <c r="Q44" i="6"/>
  <c r="S85" i="3" s="1"/>
  <c r="P43" i="6"/>
  <c r="R84" i="3" s="1"/>
  <c r="O42" i="6"/>
  <c r="Q83" i="3" s="1"/>
  <c r="N41" i="6"/>
  <c r="P82" i="3" s="1"/>
  <c r="M40" i="6"/>
  <c r="O81" i="3" s="1"/>
  <c r="Q36" i="6"/>
  <c r="K36" i="6"/>
  <c r="M38" i="6"/>
  <c r="O79" i="3" s="1"/>
  <c r="L46" i="6"/>
  <c r="N87" i="3" s="1"/>
  <c r="N40" i="6"/>
  <c r="P81" i="3" s="1"/>
  <c r="M39" i="6"/>
  <c r="O80" i="3" s="1"/>
  <c r="L38" i="6"/>
  <c r="N79" i="3" s="1"/>
  <c r="K37" i="6"/>
  <c r="M78" i="3" s="1"/>
  <c r="M41" i="6"/>
  <c r="O82" i="3" s="1"/>
  <c r="L40" i="6"/>
  <c r="N81" i="3" s="1"/>
  <c r="Q37" i="6"/>
  <c r="S78" i="3" s="1"/>
  <c r="P36" i="6"/>
  <c r="P41" i="6"/>
  <c r="R82" i="3" s="1"/>
  <c r="L37" i="6"/>
  <c r="N78" i="3" s="1"/>
  <c r="Q43" i="6"/>
  <c r="S84" i="3" s="1"/>
  <c r="K45" i="6"/>
  <c r="M86" i="3" s="1"/>
  <c r="Q45" i="6"/>
  <c r="S86" i="3" s="1"/>
  <c r="P44" i="6"/>
  <c r="R85" i="3" s="1"/>
  <c r="O43" i="6"/>
  <c r="Q84" i="3" s="1"/>
  <c r="Q46" i="6"/>
  <c r="S87" i="3" s="1"/>
  <c r="P45" i="6"/>
  <c r="R86" i="3" s="1"/>
  <c r="O44" i="6"/>
  <c r="Q85" i="3" s="1"/>
  <c r="N43" i="6"/>
  <c r="P84" i="3" s="1"/>
  <c r="M42" i="6"/>
  <c r="O83" i="3" s="1"/>
  <c r="L41" i="6"/>
  <c r="N82" i="3" s="1"/>
  <c r="Q38" i="6"/>
  <c r="S79" i="3" s="1"/>
  <c r="P37" i="6"/>
  <c r="R78" i="3" s="1"/>
  <c r="O36" i="6"/>
  <c r="Q42" i="6"/>
  <c r="S83" i="3" s="1"/>
  <c r="N39" i="6"/>
  <c r="P80" i="3" s="1"/>
  <c r="K47" i="6"/>
  <c r="M88" i="3" s="1"/>
  <c r="P42" i="6"/>
  <c r="R83" i="3" s="1"/>
  <c r="O41" i="6"/>
  <c r="Q82" i="3" s="1"/>
  <c r="K38" i="6"/>
  <c r="M79" i="3" s="1"/>
  <c r="N42" i="6"/>
  <c r="P83" i="3" s="1"/>
  <c r="K44" i="6"/>
  <c r="M85" i="3" s="1"/>
  <c r="K43" i="6"/>
  <c r="M84" i="3" s="1"/>
  <c r="Q47" i="6"/>
  <c r="S88" i="3" s="1"/>
  <c r="P46" i="6"/>
  <c r="R87" i="3" s="1"/>
  <c r="O45" i="6"/>
  <c r="Q86" i="3" s="1"/>
  <c r="N44" i="6"/>
  <c r="P85" i="3" s="1"/>
  <c r="M43" i="6"/>
  <c r="O84" i="3" s="1"/>
  <c r="L42" i="6"/>
  <c r="N83" i="3" s="1"/>
  <c r="Q39" i="6"/>
  <c r="S80" i="3" s="1"/>
  <c r="P38" i="6"/>
  <c r="R79" i="3" s="1"/>
  <c r="O37" i="6"/>
  <c r="Q78" i="3" s="1"/>
  <c r="N36" i="6"/>
  <c r="K42" i="6"/>
  <c r="M83" i="3" s="1"/>
  <c r="P47" i="6"/>
  <c r="R88" i="3" s="1"/>
  <c r="O46" i="6"/>
  <c r="Q87" i="3" s="1"/>
  <c r="N45" i="6"/>
  <c r="P86" i="3" s="1"/>
  <c r="M44" i="6"/>
  <c r="O85" i="3" s="1"/>
  <c r="L43" i="6"/>
  <c r="N84" i="3" s="1"/>
  <c r="Q40" i="6"/>
  <c r="S81" i="3" s="1"/>
  <c r="P39" i="6"/>
  <c r="R80" i="3" s="1"/>
  <c r="O38" i="6"/>
  <c r="Q79" i="3" s="1"/>
  <c r="N37" i="6"/>
  <c r="P78" i="3" s="1"/>
  <c r="K40" i="6"/>
  <c r="M81" i="3" s="1"/>
  <c r="M46" i="6"/>
  <c r="O87" i="3" s="1"/>
  <c r="L45" i="6"/>
  <c r="N86" i="3" s="1"/>
  <c r="K39" i="6"/>
  <c r="M80" i="3" s="1"/>
  <c r="K41" i="6"/>
  <c r="M82" i="3" s="1"/>
  <c r="O47" i="6"/>
  <c r="Q88" i="3" s="1"/>
  <c r="N46" i="6"/>
  <c r="P87" i="3" s="1"/>
  <c r="M45" i="6"/>
  <c r="O86" i="3" s="1"/>
  <c r="L44" i="6"/>
  <c r="N85" i="3" s="1"/>
  <c r="Q41" i="6"/>
  <c r="S82" i="3" s="1"/>
  <c r="P40" i="6"/>
  <c r="R81" i="3" s="1"/>
  <c r="O39" i="6"/>
  <c r="Q80" i="3" s="1"/>
  <c r="N38" i="6"/>
  <c r="P79" i="3" s="1"/>
  <c r="M37" i="6"/>
  <c r="O78" i="3" s="1"/>
  <c r="L36" i="6"/>
  <c r="AM33" i="17" l="1"/>
  <c r="AM25" i="17"/>
  <c r="AM23" i="17"/>
  <c r="AM27" i="17"/>
  <c r="AL20" i="17"/>
  <c r="AM30" i="17"/>
  <c r="AM26" i="17"/>
  <c r="AM32" i="17"/>
  <c r="AM28" i="17"/>
  <c r="AM31" i="17"/>
  <c r="AM34" i="17"/>
  <c r="AM29" i="17"/>
  <c r="AL18" i="13"/>
  <c r="W77" i="3"/>
  <c r="U48" i="6"/>
  <c r="M48" i="6"/>
  <c r="P77" i="3"/>
  <c r="N48" i="6"/>
  <c r="M77" i="3"/>
  <c r="K48" i="6"/>
  <c r="S77" i="3"/>
  <c r="Q48" i="6"/>
  <c r="N77" i="3"/>
  <c r="L48" i="6"/>
  <c r="Q77" i="3"/>
  <c r="O48" i="6"/>
  <c r="R77" i="3"/>
  <c r="P48" i="6"/>
  <c r="AM20" i="17"/>
  <c r="AN15" i="13"/>
  <c r="W14" i="6" s="1"/>
  <c r="AN6" i="13"/>
  <c r="AN9" i="13"/>
  <c r="W8" i="6" s="1"/>
  <c r="AN11" i="13"/>
  <c r="W10" i="6" s="1"/>
  <c r="AN12" i="13"/>
  <c r="W11" i="6" s="1"/>
  <c r="AN8" i="13"/>
  <c r="W7" i="6" s="1"/>
  <c r="AN7" i="13"/>
  <c r="W6" i="6" s="1"/>
  <c r="AN17" i="13"/>
  <c r="W16" i="6" s="1"/>
  <c r="AN13" i="13"/>
  <c r="W12" i="6" s="1"/>
  <c r="AN10" i="13"/>
  <c r="W9" i="6" s="1"/>
  <c r="AN16" i="13"/>
  <c r="W15" i="6" s="1"/>
  <c r="AN14" i="13"/>
  <c r="W13" i="6" s="1"/>
  <c r="AM11" i="13"/>
  <c r="V10" i="6" s="1"/>
  <c r="V41" i="6" s="1"/>
  <c r="X82" i="3" s="1"/>
  <c r="AM10" i="13"/>
  <c r="V9" i="6" s="1"/>
  <c r="V40" i="6" s="1"/>
  <c r="X81" i="3" s="1"/>
  <c r="AM15" i="13"/>
  <c r="V14" i="6" s="1"/>
  <c r="V45" i="6" s="1"/>
  <c r="X86" i="3" s="1"/>
  <c r="AM12" i="13"/>
  <c r="V11" i="6" s="1"/>
  <c r="V42" i="6" s="1"/>
  <c r="X83" i="3" s="1"/>
  <c r="AM6" i="13"/>
  <c r="V5" i="6" s="1"/>
  <c r="V36" i="6" s="1"/>
  <c r="AM16" i="13"/>
  <c r="V15" i="6" s="1"/>
  <c r="V46" i="6" s="1"/>
  <c r="X87" i="3" s="1"/>
  <c r="AM9" i="13"/>
  <c r="V8" i="6" s="1"/>
  <c r="V39" i="6" s="1"/>
  <c r="X80" i="3" s="1"/>
  <c r="AM13" i="13"/>
  <c r="V12" i="6" s="1"/>
  <c r="V43" i="6" s="1"/>
  <c r="X84" i="3" s="1"/>
  <c r="AM14" i="13"/>
  <c r="V13" i="6" s="1"/>
  <c r="V44" i="6" s="1"/>
  <c r="X85" i="3" s="1"/>
  <c r="AM17" i="13"/>
  <c r="V16" i="6" s="1"/>
  <c r="V47" i="6" s="1"/>
  <c r="X88" i="3" s="1"/>
  <c r="AM8" i="13"/>
  <c r="V7" i="6" s="1"/>
  <c r="V38" i="6" s="1"/>
  <c r="X79" i="3" s="1"/>
  <c r="AM7" i="13"/>
  <c r="V6" i="6" s="1"/>
  <c r="V37" i="6" s="1"/>
  <c r="X78" i="3" s="1"/>
  <c r="AM22" i="13"/>
  <c r="AM25" i="13"/>
  <c r="AM26" i="13"/>
  <c r="AM23" i="13"/>
  <c r="AM31" i="13"/>
  <c r="AM27" i="13"/>
  <c r="AM28" i="13"/>
  <c r="AM29" i="13"/>
  <c r="AM32" i="13"/>
  <c r="AM24" i="13"/>
  <c r="AM30" i="13"/>
  <c r="AM21" i="13"/>
  <c r="AN7" i="17"/>
  <c r="AN20" i="13"/>
  <c r="X18" i="6"/>
  <c r="X4" i="6"/>
  <c r="X50" i="6"/>
  <c r="X35" i="6"/>
  <c r="AC16" i="8"/>
  <c r="Z90" i="3"/>
  <c r="Z76" i="3"/>
  <c r="Z118" i="3"/>
  <c r="Z58" i="3"/>
  <c r="AO20" i="13" s="1"/>
  <c r="Z132" i="3"/>
  <c r="Z146" i="3"/>
  <c r="Z104" i="3"/>
  <c r="AN22" i="17"/>
  <c r="V52" i="6"/>
  <c r="V61" i="6"/>
  <c r="V55" i="6"/>
  <c r="V53" i="6"/>
  <c r="V51" i="6"/>
  <c r="V62" i="6"/>
  <c r="V54" i="6"/>
  <c r="V57" i="6"/>
  <c r="V58" i="6"/>
  <c r="V56" i="6"/>
  <c r="V60" i="6"/>
  <c r="V59" i="6"/>
  <c r="AA46" i="3"/>
  <c r="Z48" i="3"/>
  <c r="D42" i="6"/>
  <c r="F83" i="3" s="1"/>
  <c r="C40" i="6"/>
  <c r="E81" i="3" s="1"/>
  <c r="C44" i="6"/>
  <c r="E85" i="3" s="1"/>
  <c r="C39" i="6"/>
  <c r="E80" i="3" s="1"/>
  <c r="C38" i="6"/>
  <c r="F47" i="6"/>
  <c r="H88" i="3" s="1"/>
  <c r="C47" i="6"/>
  <c r="E88" i="3" s="1"/>
  <c r="C46" i="6"/>
  <c r="E87" i="3" s="1"/>
  <c r="X77" i="3" l="1"/>
  <c r="V48" i="6"/>
  <c r="E79" i="3"/>
  <c r="AN10" i="17"/>
  <c r="W21" i="6" s="1"/>
  <c r="W53" i="6" s="1"/>
  <c r="AN17" i="17"/>
  <c r="W28" i="6" s="1"/>
  <c r="W60" i="6" s="1"/>
  <c r="AN14" i="17"/>
  <c r="W25" i="6" s="1"/>
  <c r="W57" i="6" s="1"/>
  <c r="AN11" i="17"/>
  <c r="W22" i="6" s="1"/>
  <c r="W54" i="6" s="1"/>
  <c r="AN18" i="17"/>
  <c r="W29" i="6" s="1"/>
  <c r="W61" i="6" s="1"/>
  <c r="AN12" i="17"/>
  <c r="W23" i="6" s="1"/>
  <c r="W55" i="6" s="1"/>
  <c r="AN19" i="17"/>
  <c r="W30" i="6" s="1"/>
  <c r="W62" i="6" s="1"/>
  <c r="AN15" i="17"/>
  <c r="W26" i="6" s="1"/>
  <c r="W58" i="6" s="1"/>
  <c r="AN9" i="17"/>
  <c r="W20" i="6" s="1"/>
  <c r="W52" i="6" s="1"/>
  <c r="AN16" i="17"/>
  <c r="W27" i="6" s="1"/>
  <c r="W59" i="6" s="1"/>
  <c r="AN8" i="17"/>
  <c r="AN13" i="17"/>
  <c r="W24" i="6" s="1"/>
  <c r="W56" i="6" s="1"/>
  <c r="AO24" i="13"/>
  <c r="AO29" i="13"/>
  <c r="AO30" i="13"/>
  <c r="AO31" i="13"/>
  <c r="AO25" i="13"/>
  <c r="AO27" i="13"/>
  <c r="AO23" i="13"/>
  <c r="AO21" i="13"/>
  <c r="AO26" i="13"/>
  <c r="AO22" i="13"/>
  <c r="AO32" i="13"/>
  <c r="AO28" i="13"/>
  <c r="AM18" i="13"/>
  <c r="AN30" i="17"/>
  <c r="AN27" i="17"/>
  <c r="AN34" i="17"/>
  <c r="AN25" i="17"/>
  <c r="AN24" i="17"/>
  <c r="AN31" i="17"/>
  <c r="AN23" i="17"/>
  <c r="AN32" i="17"/>
  <c r="AN28" i="17"/>
  <c r="AN29" i="17"/>
  <c r="AN26" i="17"/>
  <c r="AN33" i="17"/>
  <c r="AN30" i="13"/>
  <c r="AN27" i="13"/>
  <c r="AN29" i="13"/>
  <c r="AN25" i="13"/>
  <c r="AN26" i="13"/>
  <c r="AN21" i="13"/>
  <c r="AN23" i="13"/>
  <c r="AN32" i="13"/>
  <c r="AN31" i="13"/>
  <c r="AN28" i="13"/>
  <c r="AN24" i="13"/>
  <c r="AN22" i="13"/>
  <c r="AO22" i="17"/>
  <c r="AO5" i="13"/>
  <c r="Y18" i="6"/>
  <c r="Y4" i="6"/>
  <c r="Y50" i="6"/>
  <c r="Y35" i="6"/>
  <c r="AO7" i="17"/>
  <c r="AD16" i="8"/>
  <c r="AA76" i="3"/>
  <c r="AA104" i="3"/>
  <c r="AA132" i="3"/>
  <c r="AA118" i="3"/>
  <c r="AA58" i="3"/>
  <c r="AP7" i="17" s="1"/>
  <c r="AA90" i="3"/>
  <c r="AA146" i="3"/>
  <c r="AN18" i="13"/>
  <c r="W5" i="6"/>
  <c r="W36" i="6" s="1"/>
  <c r="W44" i="6"/>
  <c r="Y85" i="3" s="1"/>
  <c r="W45" i="6"/>
  <c r="Y86" i="3" s="1"/>
  <c r="W40" i="6"/>
  <c r="Y81" i="3" s="1"/>
  <c r="W41" i="6"/>
  <c r="Y82" i="3" s="1"/>
  <c r="W42" i="6"/>
  <c r="Y83" i="3" s="1"/>
  <c r="W43" i="6"/>
  <c r="Y84" i="3" s="1"/>
  <c r="W38" i="6"/>
  <c r="Y79" i="3" s="1"/>
  <c r="W39" i="6"/>
  <c r="Y80" i="3" s="1"/>
  <c r="W47" i="6"/>
  <c r="Y88" i="3" s="1"/>
  <c r="W37" i="6"/>
  <c r="Y78" i="3" s="1"/>
  <c r="W46" i="6"/>
  <c r="Y87" i="3" s="1"/>
  <c r="AB46" i="3"/>
  <c r="AA48" i="3"/>
  <c r="G43" i="6"/>
  <c r="I84" i="3" s="1"/>
  <c r="H39" i="6"/>
  <c r="J80" i="3" s="1"/>
  <c r="G45" i="6"/>
  <c r="I86" i="3" s="1"/>
  <c r="H43" i="6"/>
  <c r="J84" i="3" s="1"/>
  <c r="J41" i="6"/>
  <c r="L82" i="3" s="1"/>
  <c r="J43" i="6"/>
  <c r="L84" i="3" s="1"/>
  <c r="G41" i="6"/>
  <c r="I82" i="3" s="1"/>
  <c r="G42" i="6"/>
  <c r="I83" i="3" s="1"/>
  <c r="I46" i="6"/>
  <c r="K87" i="3" s="1"/>
  <c r="J46" i="6"/>
  <c r="L87" i="3" s="1"/>
  <c r="H46" i="6"/>
  <c r="J87" i="3" s="1"/>
  <c r="G46" i="6"/>
  <c r="I87" i="3" s="1"/>
  <c r="G38" i="6"/>
  <c r="I79" i="3" s="1"/>
  <c r="H38" i="6"/>
  <c r="J79" i="3" s="1"/>
  <c r="I38" i="6"/>
  <c r="K79" i="3" s="1"/>
  <c r="J38" i="6"/>
  <c r="L79" i="3" s="1"/>
  <c r="E43" i="6"/>
  <c r="G84" i="3" s="1"/>
  <c r="E42" i="6"/>
  <c r="G83" i="3" s="1"/>
  <c r="D44" i="6"/>
  <c r="F85" i="3" s="1"/>
  <c r="G44" i="6"/>
  <c r="I85" i="3" s="1"/>
  <c r="D46" i="6"/>
  <c r="F87" i="3" s="1"/>
  <c r="F42" i="6"/>
  <c r="H83" i="3" s="1"/>
  <c r="F36" i="6"/>
  <c r="D40" i="6"/>
  <c r="F81" i="3" s="1"/>
  <c r="I41" i="6"/>
  <c r="K82" i="3" s="1"/>
  <c r="D38" i="6"/>
  <c r="F38" i="6"/>
  <c r="H79" i="3" s="1"/>
  <c r="E40" i="6"/>
  <c r="G81" i="3" s="1"/>
  <c r="C41" i="6"/>
  <c r="E82" i="3" s="1"/>
  <c r="E41" i="6"/>
  <c r="G82" i="3" s="1"/>
  <c r="F39" i="6"/>
  <c r="H80" i="3" s="1"/>
  <c r="I39" i="6"/>
  <c r="K80" i="3" s="1"/>
  <c r="C42" i="6"/>
  <c r="E83" i="3" s="1"/>
  <c r="C43" i="6"/>
  <c r="E84" i="3" s="1"/>
  <c r="D43" i="6"/>
  <c r="F84" i="3" s="1"/>
  <c r="E36" i="6"/>
  <c r="D47" i="6"/>
  <c r="F88" i="3" s="1"/>
  <c r="D41" i="6"/>
  <c r="F82" i="3" s="1"/>
  <c r="E39" i="6"/>
  <c r="G80" i="3" s="1"/>
  <c r="E38" i="6"/>
  <c r="G79" i="3" s="1"/>
  <c r="J44" i="6"/>
  <c r="L85" i="3" s="1"/>
  <c r="E45" i="6"/>
  <c r="G86" i="3" s="1"/>
  <c r="I44" i="6"/>
  <c r="K85" i="3" s="1"/>
  <c r="G39" i="6"/>
  <c r="I80" i="3" s="1"/>
  <c r="C45" i="6"/>
  <c r="E86" i="3" s="1"/>
  <c r="E37" i="6"/>
  <c r="G78" i="3" s="1"/>
  <c r="F37" i="6"/>
  <c r="H78" i="3" s="1"/>
  <c r="E47" i="6"/>
  <c r="G88" i="3" s="1"/>
  <c r="F40" i="6"/>
  <c r="H81" i="3" s="1"/>
  <c r="D39" i="6"/>
  <c r="F80" i="3" s="1"/>
  <c r="F46" i="6"/>
  <c r="H87" i="3" s="1"/>
  <c r="F44" i="6"/>
  <c r="H85" i="3" s="1"/>
  <c r="F41" i="6"/>
  <c r="H82" i="3" s="1"/>
  <c r="D45" i="6"/>
  <c r="F86" i="3" s="1"/>
  <c r="E46" i="6"/>
  <c r="G87" i="3" s="1"/>
  <c r="F45" i="6"/>
  <c r="H86" i="3" s="1"/>
  <c r="F43" i="6"/>
  <c r="H84" i="3" s="1"/>
  <c r="E44" i="6"/>
  <c r="G85" i="3" s="1"/>
  <c r="J39" i="6"/>
  <c r="L80" i="3" s="1"/>
  <c r="J45" i="6"/>
  <c r="L86" i="3" s="1"/>
  <c r="I37" i="6"/>
  <c r="K78" i="3" s="1"/>
  <c r="I45" i="6"/>
  <c r="K86" i="3" s="1"/>
  <c r="H45" i="6"/>
  <c r="J86" i="3" s="1"/>
  <c r="G40" i="6"/>
  <c r="I81" i="3" s="1"/>
  <c r="H40" i="6"/>
  <c r="J81" i="3" s="1"/>
  <c r="I42" i="6"/>
  <c r="K83" i="3" s="1"/>
  <c r="J42" i="6"/>
  <c r="L83" i="3" s="1"/>
  <c r="I43" i="6"/>
  <c r="K84" i="3" s="1"/>
  <c r="H41" i="6"/>
  <c r="J82" i="3" s="1"/>
  <c r="H44" i="6"/>
  <c r="J85" i="3" s="1"/>
  <c r="C87" i="3" l="1"/>
  <c r="C85" i="3"/>
  <c r="C80" i="3"/>
  <c r="C84" i="3"/>
  <c r="C82" i="3"/>
  <c r="C86" i="3"/>
  <c r="H77" i="3"/>
  <c r="F48" i="6"/>
  <c r="H47" i="3" s="1" a="1"/>
  <c r="F79" i="3"/>
  <c r="C79" i="3" s="1"/>
  <c r="D48" i="6"/>
  <c r="F47" i="3" s="1" a="1"/>
  <c r="Y77" i="3"/>
  <c r="W48" i="6"/>
  <c r="C48" i="6"/>
  <c r="E47" i="3" s="1" a="1"/>
  <c r="G77" i="3"/>
  <c r="E48" i="6"/>
  <c r="G47" i="3" s="1" a="1"/>
  <c r="W19" i="6"/>
  <c r="W51" i="6" s="1"/>
  <c r="AN20" i="17"/>
  <c r="AO13" i="13"/>
  <c r="X12" i="6" s="1"/>
  <c r="X43" i="6" s="1"/>
  <c r="Z84" i="3" s="1"/>
  <c r="AO15" i="13"/>
  <c r="X14" i="6" s="1"/>
  <c r="X45" i="6" s="1"/>
  <c r="Z86" i="3" s="1"/>
  <c r="AO8" i="13"/>
  <c r="X7" i="6" s="1"/>
  <c r="X38" i="6" s="1"/>
  <c r="Z79" i="3" s="1"/>
  <c r="AO9" i="13"/>
  <c r="X8" i="6" s="1"/>
  <c r="X39" i="6" s="1"/>
  <c r="Z80" i="3" s="1"/>
  <c r="AO6" i="13"/>
  <c r="X5" i="6" s="1"/>
  <c r="X36" i="6" s="1"/>
  <c r="AO12" i="13"/>
  <c r="X11" i="6" s="1"/>
  <c r="X42" i="6" s="1"/>
  <c r="Z83" i="3" s="1"/>
  <c r="AO7" i="13"/>
  <c r="X6" i="6" s="1"/>
  <c r="X37" i="6" s="1"/>
  <c r="Z78" i="3" s="1"/>
  <c r="AO11" i="13"/>
  <c r="X10" i="6" s="1"/>
  <c r="X41" i="6" s="1"/>
  <c r="Z82" i="3" s="1"/>
  <c r="AO10" i="13"/>
  <c r="X9" i="6" s="1"/>
  <c r="X40" i="6" s="1"/>
  <c r="Z81" i="3" s="1"/>
  <c r="AO17" i="13"/>
  <c r="X16" i="6" s="1"/>
  <c r="X47" i="6" s="1"/>
  <c r="Z88" i="3" s="1"/>
  <c r="AO16" i="13"/>
  <c r="X15" i="6" s="1"/>
  <c r="X46" i="6" s="1"/>
  <c r="Z87" i="3" s="1"/>
  <c r="AO14" i="13"/>
  <c r="X13" i="6" s="1"/>
  <c r="X44" i="6" s="1"/>
  <c r="Z85" i="3" s="1"/>
  <c r="AO30" i="17"/>
  <c r="AO28" i="17"/>
  <c r="AO27" i="17"/>
  <c r="AO34" i="17"/>
  <c r="AO24" i="17"/>
  <c r="AO31" i="17"/>
  <c r="AO25" i="17"/>
  <c r="AO23" i="17"/>
  <c r="AO33" i="17"/>
  <c r="AO26" i="17"/>
  <c r="AO32" i="17"/>
  <c r="AO29" i="17"/>
  <c r="AO10" i="17"/>
  <c r="X21" i="6" s="1"/>
  <c r="X53" i="6" s="1"/>
  <c r="AO17" i="17"/>
  <c r="X28" i="6" s="1"/>
  <c r="X60" i="6" s="1"/>
  <c r="AO14" i="17"/>
  <c r="X25" i="6" s="1"/>
  <c r="X57" i="6" s="1"/>
  <c r="AO18" i="17"/>
  <c r="X29" i="6" s="1"/>
  <c r="X61" i="6" s="1"/>
  <c r="AO15" i="17"/>
  <c r="X26" i="6" s="1"/>
  <c r="X58" i="6" s="1"/>
  <c r="AO11" i="17"/>
  <c r="X22" i="6" s="1"/>
  <c r="X54" i="6" s="1"/>
  <c r="AO19" i="17"/>
  <c r="X30" i="6" s="1"/>
  <c r="X62" i="6" s="1"/>
  <c r="AO8" i="17"/>
  <c r="AO13" i="17"/>
  <c r="X24" i="6" s="1"/>
  <c r="X56" i="6" s="1"/>
  <c r="AO16" i="17"/>
  <c r="X27" i="6" s="1"/>
  <c r="X59" i="6" s="1"/>
  <c r="AO12" i="17"/>
  <c r="X23" i="6" s="1"/>
  <c r="X55" i="6" s="1"/>
  <c r="AO9" i="17"/>
  <c r="X20" i="6" s="1"/>
  <c r="X52" i="6" s="1"/>
  <c r="AP13" i="17"/>
  <c r="Y24" i="6" s="1"/>
  <c r="AP10" i="17"/>
  <c r="Y21" i="6" s="1"/>
  <c r="AP17" i="17"/>
  <c r="Y28" i="6" s="1"/>
  <c r="AP14" i="17"/>
  <c r="Y25" i="6" s="1"/>
  <c r="AP11" i="17"/>
  <c r="Y22" i="6" s="1"/>
  <c r="AP18" i="17"/>
  <c r="Y29" i="6" s="1"/>
  <c r="AP15" i="17"/>
  <c r="Y26" i="6" s="1"/>
  <c r="AP12" i="17"/>
  <c r="Y23" i="6" s="1"/>
  <c r="AP19" i="17"/>
  <c r="Y30" i="6" s="1"/>
  <c r="AP8" i="17"/>
  <c r="AP16" i="17"/>
  <c r="Y27" i="6" s="1"/>
  <c r="AP9" i="17"/>
  <c r="Y20" i="6" s="1"/>
  <c r="Z50" i="6"/>
  <c r="Z4" i="6"/>
  <c r="Z35" i="6"/>
  <c r="Z18" i="6"/>
  <c r="AP20" i="13"/>
  <c r="AP22" i="17"/>
  <c r="AP5" i="13"/>
  <c r="AE16" i="8"/>
  <c r="AB132" i="3"/>
  <c r="AB76" i="3"/>
  <c r="AB104" i="3"/>
  <c r="AB58" i="3"/>
  <c r="AQ7" i="17" s="1"/>
  <c r="AB118" i="3"/>
  <c r="AB90" i="3"/>
  <c r="AB146" i="3"/>
  <c r="AC46" i="3"/>
  <c r="AB48" i="3"/>
  <c r="H42" i="6"/>
  <c r="J83" i="3" s="1"/>
  <c r="C83" i="3" s="1"/>
  <c r="H36" i="6"/>
  <c r="J36" i="6"/>
  <c r="I36" i="6"/>
  <c r="G36" i="6"/>
  <c r="J40" i="6"/>
  <c r="L81" i="3" s="1"/>
  <c r="I40" i="6"/>
  <c r="K81" i="3" s="1"/>
  <c r="H47" i="6"/>
  <c r="J88" i="3" s="1"/>
  <c r="G47" i="6"/>
  <c r="I88" i="3" s="1"/>
  <c r="J47" i="6"/>
  <c r="L88" i="3" s="1"/>
  <c r="I47" i="6"/>
  <c r="K88" i="3" s="1"/>
  <c r="G37" i="6"/>
  <c r="I78" i="3" s="1"/>
  <c r="C78" i="3" s="1"/>
  <c r="H37" i="6"/>
  <c r="J78" i="3" s="1"/>
  <c r="J37" i="6"/>
  <c r="L78" i="3" s="1"/>
  <c r="G31" i="8"/>
  <c r="B31" i="8"/>
  <c r="C81" i="3" l="1"/>
  <c r="C88" i="3"/>
  <c r="AQ5" i="13"/>
  <c r="AQ17" i="13" s="1"/>
  <c r="Z16" i="6" s="1"/>
  <c r="AQ22" i="17"/>
  <c r="AQ34" i="17" s="1"/>
  <c r="J77" i="3"/>
  <c r="H48" i="6"/>
  <c r="J47" i="3" s="1" a="1"/>
  <c r="I77" i="3"/>
  <c r="G48" i="6"/>
  <c r="I47" i="3" s="1" a="1"/>
  <c r="L77" i="3"/>
  <c r="J48" i="6"/>
  <c r="Z77" i="3"/>
  <c r="X48" i="6"/>
  <c r="K77" i="3"/>
  <c r="I48" i="6"/>
  <c r="AQ20" i="13"/>
  <c r="AQ24" i="13" s="1"/>
  <c r="X19" i="6"/>
  <c r="X51" i="6" s="1"/>
  <c r="AO20" i="17"/>
  <c r="Y19" i="6"/>
  <c r="Y51" i="6" s="1"/>
  <c r="AP20" i="17"/>
  <c r="AP26" i="17"/>
  <c r="AP33" i="17"/>
  <c r="AP28" i="17"/>
  <c r="AP30" i="17"/>
  <c r="AP23" i="17"/>
  <c r="AP27" i="17"/>
  <c r="AP34" i="17"/>
  <c r="AP24" i="17"/>
  <c r="AP31" i="17"/>
  <c r="AP25" i="17"/>
  <c r="AP32" i="17"/>
  <c r="AP29" i="17"/>
  <c r="AQ14" i="13"/>
  <c r="Z13" i="6" s="1"/>
  <c r="AQ9" i="13"/>
  <c r="Z8" i="6" s="1"/>
  <c r="AQ7" i="13"/>
  <c r="Z6" i="6" s="1"/>
  <c r="AQ8" i="13"/>
  <c r="Z7" i="6" s="1"/>
  <c r="AQ16" i="13"/>
  <c r="AQ12" i="13"/>
  <c r="Z11" i="6" s="1"/>
  <c r="AQ11" i="13"/>
  <c r="Z10" i="6" s="1"/>
  <c r="AQ8" i="17"/>
  <c r="AQ13" i="17"/>
  <c r="Z24" i="6" s="1"/>
  <c r="AQ18" i="17"/>
  <c r="Z29" i="6" s="1"/>
  <c r="AQ10" i="17"/>
  <c r="Z21" i="6" s="1"/>
  <c r="AQ17" i="17"/>
  <c r="Z28" i="6" s="1"/>
  <c r="AQ14" i="17"/>
  <c r="Z25" i="6" s="1"/>
  <c r="AQ11" i="17"/>
  <c r="Z22" i="6" s="1"/>
  <c r="AQ9" i="17"/>
  <c r="Z20" i="6" s="1"/>
  <c r="AQ12" i="17"/>
  <c r="Z23" i="6" s="1"/>
  <c r="AQ16" i="17"/>
  <c r="Z27" i="6" s="1"/>
  <c r="AQ19" i="17"/>
  <c r="AQ15" i="17"/>
  <c r="Z26" i="6" s="1"/>
  <c r="AQ33" i="17"/>
  <c r="AQ24" i="17"/>
  <c r="AQ30" i="17"/>
  <c r="AQ28" i="17"/>
  <c r="AQ27" i="17"/>
  <c r="AQ25" i="17"/>
  <c r="AP30" i="13"/>
  <c r="AP23" i="13"/>
  <c r="AP31" i="13"/>
  <c r="AP29" i="13"/>
  <c r="AP22" i="13"/>
  <c r="AP28" i="13"/>
  <c r="AP32" i="13"/>
  <c r="AP25" i="13"/>
  <c r="AP24" i="13"/>
  <c r="AP26" i="13"/>
  <c r="AP21" i="13"/>
  <c r="AP27" i="13"/>
  <c r="AO18" i="13"/>
  <c r="AP8" i="13"/>
  <c r="Y7" i="6" s="1"/>
  <c r="Y38" i="6" s="1"/>
  <c r="AA79" i="3" s="1"/>
  <c r="AP13" i="13"/>
  <c r="Y12" i="6" s="1"/>
  <c r="Y43" i="6" s="1"/>
  <c r="AA84" i="3" s="1"/>
  <c r="AP6" i="13"/>
  <c r="Y5" i="6" s="1"/>
  <c r="Y36" i="6" s="1"/>
  <c r="AP16" i="13"/>
  <c r="Y15" i="6" s="1"/>
  <c r="Y46" i="6" s="1"/>
  <c r="AA87" i="3" s="1"/>
  <c r="AP10" i="13"/>
  <c r="Y9" i="6" s="1"/>
  <c r="Y40" i="6" s="1"/>
  <c r="AA81" i="3" s="1"/>
  <c r="AP7" i="13"/>
  <c r="Y6" i="6" s="1"/>
  <c r="Y37" i="6" s="1"/>
  <c r="AA78" i="3" s="1"/>
  <c r="AP17" i="13"/>
  <c r="Y16" i="6" s="1"/>
  <c r="Y47" i="6" s="1"/>
  <c r="AA88" i="3" s="1"/>
  <c r="AP14" i="13"/>
  <c r="Y13" i="6" s="1"/>
  <c r="Y44" i="6" s="1"/>
  <c r="AA85" i="3" s="1"/>
  <c r="AP15" i="13"/>
  <c r="Y14" i="6" s="1"/>
  <c r="Y45" i="6" s="1"/>
  <c r="AA86" i="3" s="1"/>
  <c r="AP11" i="13"/>
  <c r="Y10" i="6" s="1"/>
  <c r="Y41" i="6" s="1"/>
  <c r="AA82" i="3" s="1"/>
  <c r="AP9" i="13"/>
  <c r="Y8" i="6" s="1"/>
  <c r="Y39" i="6" s="1"/>
  <c r="AA80" i="3" s="1"/>
  <c r="AP12" i="13"/>
  <c r="Y11" i="6" s="1"/>
  <c r="Y42" i="6" s="1"/>
  <c r="AA83" i="3" s="1"/>
  <c r="AA50" i="6"/>
  <c r="AA4" i="6"/>
  <c r="AA35" i="6"/>
  <c r="AA18" i="6"/>
  <c r="AF16" i="8"/>
  <c r="AC118" i="3"/>
  <c r="AC104" i="3"/>
  <c r="AC76" i="3"/>
  <c r="AC146" i="3"/>
  <c r="AC132" i="3"/>
  <c r="AC90" i="3"/>
  <c r="AC58" i="3"/>
  <c r="AR20" i="13" s="1"/>
  <c r="Z15" i="6"/>
  <c r="Y56" i="6"/>
  <c r="Y62" i="6"/>
  <c r="Y54" i="6"/>
  <c r="Y58" i="6"/>
  <c r="Y60" i="6"/>
  <c r="Y59" i="6"/>
  <c r="Y52" i="6"/>
  <c r="Y53" i="6"/>
  <c r="Y55" i="6"/>
  <c r="Y57" i="6"/>
  <c r="Y61" i="6"/>
  <c r="AD46" i="3"/>
  <c r="AC48" i="3"/>
  <c r="Z30" i="6"/>
  <c r="AG17" i="5"/>
  <c r="AG20" i="5"/>
  <c r="C51" i="2"/>
  <c r="C77" i="3" l="1"/>
  <c r="AQ6" i="13"/>
  <c r="Z5" i="6" s="1"/>
  <c r="AQ26" i="17"/>
  <c r="AQ23" i="17"/>
  <c r="AQ32" i="17"/>
  <c r="AQ29" i="17"/>
  <c r="AQ31" i="17"/>
  <c r="AR7" i="17"/>
  <c r="AR17" i="17" s="1"/>
  <c r="AA28" i="6" s="1"/>
  <c r="AQ22" i="13"/>
  <c r="AQ29" i="13"/>
  <c r="AQ31" i="13"/>
  <c r="AQ26" i="13"/>
  <c r="AQ25" i="13"/>
  <c r="AQ23" i="13"/>
  <c r="AQ32" i="13"/>
  <c r="AQ10" i="13"/>
  <c r="Z9" i="6" s="1"/>
  <c r="Z40" i="6" s="1"/>
  <c r="AB81" i="3" s="1"/>
  <c r="AQ15" i="13"/>
  <c r="Z14" i="6" s="1"/>
  <c r="Z45" i="6" s="1"/>
  <c r="AB86" i="3" s="1"/>
  <c r="AQ13" i="13"/>
  <c r="Z12" i="6" s="1"/>
  <c r="Z43" i="6" s="1"/>
  <c r="AB84" i="3" s="1"/>
  <c r="AR22" i="17"/>
  <c r="AR31" i="17" s="1"/>
  <c r="AA77" i="3"/>
  <c r="Y48" i="6"/>
  <c r="AQ30" i="13"/>
  <c r="AQ27" i="13"/>
  <c r="AQ28" i="13"/>
  <c r="AQ21" i="13"/>
  <c r="Z19" i="6"/>
  <c r="Z51" i="6" s="1"/>
  <c r="AQ20" i="17"/>
  <c r="AR28" i="17"/>
  <c r="AR22" i="13"/>
  <c r="AR30" i="13"/>
  <c r="AR24" i="13"/>
  <c r="AR23" i="13"/>
  <c r="AR25" i="13"/>
  <c r="AR32" i="13"/>
  <c r="AR31" i="13"/>
  <c r="AR27" i="13"/>
  <c r="AR29" i="13"/>
  <c r="AR28" i="13"/>
  <c r="AR26" i="13"/>
  <c r="AR21" i="13"/>
  <c r="AR9" i="17"/>
  <c r="AA20" i="6" s="1"/>
  <c r="AR16" i="17"/>
  <c r="AA27" i="6" s="1"/>
  <c r="AR18" i="17"/>
  <c r="AA29" i="6" s="1"/>
  <c r="AR8" i="17"/>
  <c r="AR11" i="17"/>
  <c r="AA22" i="6" s="1"/>
  <c r="AR13" i="17"/>
  <c r="AA24" i="6" s="1"/>
  <c r="AR10" i="17"/>
  <c r="AA21" i="6" s="1"/>
  <c r="AR15" i="17"/>
  <c r="AA26" i="6" s="1"/>
  <c r="AP18" i="13"/>
  <c r="AB50" i="6"/>
  <c r="AB35" i="6"/>
  <c r="AB4" i="6"/>
  <c r="AB18" i="6"/>
  <c r="AR5" i="13"/>
  <c r="AG16" i="8"/>
  <c r="AD76" i="3"/>
  <c r="AD104" i="3"/>
  <c r="AD146" i="3"/>
  <c r="AD118" i="3"/>
  <c r="AD132" i="3"/>
  <c r="AD90" i="3"/>
  <c r="AD58" i="3"/>
  <c r="AS7" i="17" s="1"/>
  <c r="Z62" i="6"/>
  <c r="Z54" i="6"/>
  <c r="Z55" i="6"/>
  <c r="Z57" i="6"/>
  <c r="Z52" i="6"/>
  <c r="Z59" i="6"/>
  <c r="Z60" i="6"/>
  <c r="Z56" i="6"/>
  <c r="Z53" i="6"/>
  <c r="Z58" i="6"/>
  <c r="Z42" i="6"/>
  <c r="AB83" i="3" s="1"/>
  <c r="Z41" i="6"/>
  <c r="AB82" i="3" s="1"/>
  <c r="Z39" i="6"/>
  <c r="AB80" i="3" s="1"/>
  <c r="Z61" i="6"/>
  <c r="Z44" i="6"/>
  <c r="AB85" i="3" s="1"/>
  <c r="Z36" i="6"/>
  <c r="Z47" i="6"/>
  <c r="AB88" i="3" s="1"/>
  <c r="Z46" i="6"/>
  <c r="AB87" i="3" s="1"/>
  <c r="Z38" i="6"/>
  <c r="AB79" i="3" s="1"/>
  <c r="Z37" i="6"/>
  <c r="AB78" i="3" s="1"/>
  <c r="AE46" i="3"/>
  <c r="AD48" i="3"/>
  <c r="C55" i="2"/>
  <c r="C56" i="2"/>
  <c r="AR12" i="17" l="1"/>
  <c r="AA23" i="6" s="1"/>
  <c r="AR19" i="17"/>
  <c r="AA30" i="6" s="1"/>
  <c r="AR14" i="17"/>
  <c r="AA25" i="6" s="1"/>
  <c r="AA57" i="6" s="1"/>
  <c r="AR30" i="17"/>
  <c r="AR34" i="17"/>
  <c r="AR27" i="17"/>
  <c r="AR33" i="17"/>
  <c r="AR26" i="17"/>
  <c r="AR29" i="17"/>
  <c r="AR24" i="17"/>
  <c r="AR32" i="17"/>
  <c r="AR23" i="17"/>
  <c r="AR25" i="17"/>
  <c r="AQ18" i="13"/>
  <c r="AB77" i="3"/>
  <c r="Z48" i="6"/>
  <c r="AA19" i="6"/>
  <c r="AA51" i="6" s="1"/>
  <c r="AS9" i="17"/>
  <c r="AB20" i="6" s="1"/>
  <c r="AS16" i="17"/>
  <c r="AB27" i="6" s="1"/>
  <c r="AS17" i="17"/>
  <c r="AB28" i="6" s="1"/>
  <c r="AS8" i="17"/>
  <c r="AB19" i="6" s="1"/>
  <c r="AS13" i="17"/>
  <c r="AB24" i="6" s="1"/>
  <c r="AS10" i="17"/>
  <c r="AB21" i="6" s="1"/>
  <c r="AS14" i="17"/>
  <c r="AB25" i="6" s="1"/>
  <c r="AS12" i="17"/>
  <c r="AB23" i="6" s="1"/>
  <c r="AS11" i="17"/>
  <c r="AB22" i="6" s="1"/>
  <c r="AS19" i="17"/>
  <c r="AB30" i="6" s="1"/>
  <c r="AS15" i="17"/>
  <c r="AB26" i="6" s="1"/>
  <c r="AS18" i="17"/>
  <c r="AB29" i="6" s="1"/>
  <c r="AR9" i="13"/>
  <c r="AA8" i="6" s="1"/>
  <c r="AA39" i="6" s="1"/>
  <c r="AC80" i="3" s="1"/>
  <c r="AR8" i="13"/>
  <c r="AA7" i="6" s="1"/>
  <c r="AA38" i="6" s="1"/>
  <c r="AC79" i="3" s="1"/>
  <c r="AR14" i="13"/>
  <c r="AA13" i="6" s="1"/>
  <c r="AA44" i="6" s="1"/>
  <c r="AC85" i="3" s="1"/>
  <c r="AR17" i="13"/>
  <c r="AA16" i="6" s="1"/>
  <c r="AA47" i="6" s="1"/>
  <c r="AC88" i="3" s="1"/>
  <c r="AR12" i="13"/>
  <c r="AA11" i="6" s="1"/>
  <c r="AA42" i="6" s="1"/>
  <c r="AC83" i="3" s="1"/>
  <c r="AR16" i="13"/>
  <c r="AA15" i="6" s="1"/>
  <c r="AA46" i="6" s="1"/>
  <c r="AC87" i="3" s="1"/>
  <c r="AR13" i="13"/>
  <c r="AA12" i="6" s="1"/>
  <c r="AA43" i="6" s="1"/>
  <c r="AC84" i="3" s="1"/>
  <c r="AR7" i="13"/>
  <c r="AA6" i="6" s="1"/>
  <c r="AA37" i="6" s="1"/>
  <c r="AC78" i="3" s="1"/>
  <c r="AR11" i="13"/>
  <c r="AA10" i="6" s="1"/>
  <c r="AA41" i="6" s="1"/>
  <c r="AC82" i="3" s="1"/>
  <c r="AR6" i="13"/>
  <c r="AA5" i="6" s="1"/>
  <c r="AA36" i="6" s="1"/>
  <c r="AR10" i="13"/>
  <c r="AA9" i="6" s="1"/>
  <c r="AA40" i="6" s="1"/>
  <c r="AC81" i="3" s="1"/>
  <c r="AR15" i="13"/>
  <c r="AA14" i="6" s="1"/>
  <c r="AA45" i="6" s="1"/>
  <c r="AC86" i="3" s="1"/>
  <c r="AS22" i="17"/>
  <c r="AC50" i="6"/>
  <c r="AC35" i="6"/>
  <c r="AC4" i="6"/>
  <c r="AC18" i="6"/>
  <c r="AS5" i="13"/>
  <c r="AS20" i="13"/>
  <c r="AH16" i="8"/>
  <c r="AE146" i="3"/>
  <c r="AE118" i="3"/>
  <c r="AE104" i="3"/>
  <c r="AE90" i="3"/>
  <c r="AE58" i="3"/>
  <c r="AT20" i="13" s="1"/>
  <c r="AE76" i="3"/>
  <c r="AE132" i="3"/>
  <c r="AA53" i="6"/>
  <c r="AA62" i="6"/>
  <c r="AA58" i="6"/>
  <c r="AA52" i="6"/>
  <c r="AA61" i="6"/>
  <c r="AA60" i="6"/>
  <c r="AA54" i="6"/>
  <c r="AA59" i="6"/>
  <c r="AA56" i="6"/>
  <c r="AA55" i="6"/>
  <c r="AF46" i="3"/>
  <c r="AE48" i="3"/>
  <c r="H16" i="5"/>
  <c r="AR20" i="17" l="1"/>
  <c r="AC77" i="3"/>
  <c r="AA48" i="6"/>
  <c r="AS20" i="17"/>
  <c r="AS32" i="13"/>
  <c r="AS22" i="13"/>
  <c r="AS24" i="13"/>
  <c r="AS29" i="13"/>
  <c r="AS27" i="13"/>
  <c r="AS31" i="13"/>
  <c r="AS23" i="13"/>
  <c r="AS26" i="13"/>
  <c r="AS30" i="13"/>
  <c r="AS28" i="13"/>
  <c r="AS21" i="13"/>
  <c r="AS25" i="13"/>
  <c r="AS12" i="13"/>
  <c r="AB11" i="6" s="1"/>
  <c r="AB42" i="6" s="1"/>
  <c r="AD83" i="3" s="1"/>
  <c r="AS7" i="13"/>
  <c r="AB6" i="6" s="1"/>
  <c r="AB37" i="6" s="1"/>
  <c r="AD78" i="3" s="1"/>
  <c r="AS13" i="13"/>
  <c r="AB12" i="6" s="1"/>
  <c r="AB43" i="6" s="1"/>
  <c r="AD84" i="3" s="1"/>
  <c r="AS9" i="13"/>
  <c r="AB8" i="6" s="1"/>
  <c r="AB39" i="6" s="1"/>
  <c r="AD80" i="3" s="1"/>
  <c r="AS16" i="13"/>
  <c r="AB15" i="6" s="1"/>
  <c r="AB46" i="6" s="1"/>
  <c r="AD87" i="3" s="1"/>
  <c r="AS15" i="13"/>
  <c r="AB14" i="6" s="1"/>
  <c r="AB45" i="6" s="1"/>
  <c r="AD86" i="3" s="1"/>
  <c r="AS17" i="13"/>
  <c r="AB16" i="6" s="1"/>
  <c r="AB47" i="6" s="1"/>
  <c r="AD88" i="3" s="1"/>
  <c r="AS11" i="13"/>
  <c r="AB10" i="6" s="1"/>
  <c r="AB41" i="6" s="1"/>
  <c r="AD82" i="3" s="1"/>
  <c r="AS10" i="13"/>
  <c r="AB9" i="6" s="1"/>
  <c r="AB40" i="6" s="1"/>
  <c r="AD81" i="3" s="1"/>
  <c r="AS14" i="13"/>
  <c r="AB13" i="6" s="1"/>
  <c r="AB44" i="6" s="1"/>
  <c r="AD85" i="3" s="1"/>
  <c r="AS8" i="13"/>
  <c r="AB7" i="6" s="1"/>
  <c r="AB38" i="6" s="1"/>
  <c r="AD79" i="3" s="1"/>
  <c r="AS6" i="13"/>
  <c r="AB5" i="6" s="1"/>
  <c r="AB36" i="6" s="1"/>
  <c r="AT24" i="13"/>
  <c r="AT30" i="13"/>
  <c r="AT29" i="13"/>
  <c r="AT26" i="13"/>
  <c r="AT22" i="13"/>
  <c r="AT25" i="13"/>
  <c r="AT32" i="13"/>
  <c r="AT28" i="13"/>
  <c r="AT27" i="13"/>
  <c r="AT21" i="13"/>
  <c r="AT23" i="13"/>
  <c r="AT31" i="13"/>
  <c r="AS29" i="17"/>
  <c r="AS24" i="17"/>
  <c r="AS26" i="17"/>
  <c r="AS33" i="17"/>
  <c r="AS30" i="17"/>
  <c r="AS27" i="17"/>
  <c r="AS34" i="17"/>
  <c r="AS23" i="17"/>
  <c r="AS28" i="17"/>
  <c r="AS25" i="17"/>
  <c r="AS31" i="17"/>
  <c r="AS32" i="17"/>
  <c r="AR18" i="13"/>
  <c r="AD50" i="6"/>
  <c r="AD35" i="6"/>
  <c r="AD18" i="6"/>
  <c r="AD4" i="6"/>
  <c r="AI16" i="8"/>
  <c r="AF118" i="3"/>
  <c r="AF104" i="3"/>
  <c r="AF146" i="3"/>
  <c r="AF90" i="3"/>
  <c r="AF58" i="3"/>
  <c r="AU5" i="13" s="1"/>
  <c r="AF76" i="3"/>
  <c r="AF132" i="3"/>
  <c r="AT22" i="17"/>
  <c r="AT5" i="13"/>
  <c r="AT7" i="17"/>
  <c r="H17" i="5"/>
  <c r="AB52" i="6"/>
  <c r="AB59" i="6"/>
  <c r="AB55" i="6"/>
  <c r="AB61" i="6"/>
  <c r="AB56" i="6"/>
  <c r="AB58" i="6"/>
  <c r="AB51" i="6"/>
  <c r="AB62" i="6"/>
  <c r="AB54" i="6"/>
  <c r="AB53" i="6"/>
  <c r="AB60" i="6"/>
  <c r="AB57" i="6"/>
  <c r="AG46" i="3"/>
  <c r="AF48" i="3"/>
  <c r="H20" i="5"/>
  <c r="AD77" i="3" l="1"/>
  <c r="AB48" i="6"/>
  <c r="AU20" i="13"/>
  <c r="AU29" i="13" s="1"/>
  <c r="AU7" i="17"/>
  <c r="AU8" i="17" s="1"/>
  <c r="AD19" i="6" s="1"/>
  <c r="AU22" i="17"/>
  <c r="AU25" i="17" s="1"/>
  <c r="AU24" i="13"/>
  <c r="AU22" i="13"/>
  <c r="AU26" i="13"/>
  <c r="AU32" i="13"/>
  <c r="AU27" i="13"/>
  <c r="AU28" i="13"/>
  <c r="AU9" i="17"/>
  <c r="AD20" i="6" s="1"/>
  <c r="AU10" i="17"/>
  <c r="AD21" i="6" s="1"/>
  <c r="AU17" i="17"/>
  <c r="AD28" i="6" s="1"/>
  <c r="AU8" i="13"/>
  <c r="AD7" i="6" s="1"/>
  <c r="AU6" i="13"/>
  <c r="AU16" i="13"/>
  <c r="AD15" i="6" s="1"/>
  <c r="AU9" i="13"/>
  <c r="AD8" i="6" s="1"/>
  <c r="AU14" i="13"/>
  <c r="AD13" i="6" s="1"/>
  <c r="AU17" i="13"/>
  <c r="AD16" i="6" s="1"/>
  <c r="AU15" i="13"/>
  <c r="AD14" i="6" s="1"/>
  <c r="AU12" i="13"/>
  <c r="AD11" i="6" s="1"/>
  <c r="AU10" i="13"/>
  <c r="AD9" i="6" s="1"/>
  <c r="AU13" i="13"/>
  <c r="AD12" i="6" s="1"/>
  <c r="AU11" i="13"/>
  <c r="AD10" i="6" s="1"/>
  <c r="AU7" i="13"/>
  <c r="AD6" i="6" s="1"/>
  <c r="AT12" i="17"/>
  <c r="AC23" i="6" s="1"/>
  <c r="AC55" i="6" s="1"/>
  <c r="AT19" i="17"/>
  <c r="AC30" i="6" s="1"/>
  <c r="AC62" i="6" s="1"/>
  <c r="AT9" i="17"/>
  <c r="AC20" i="6" s="1"/>
  <c r="AC52" i="6" s="1"/>
  <c r="AT16" i="17"/>
  <c r="AC27" i="6" s="1"/>
  <c r="AC59" i="6" s="1"/>
  <c r="AT8" i="17"/>
  <c r="AT13" i="17"/>
  <c r="AT14" i="17"/>
  <c r="AC25" i="6" s="1"/>
  <c r="AC57" i="6" s="1"/>
  <c r="AT10" i="17"/>
  <c r="AC21" i="6" s="1"/>
  <c r="AC53" i="6" s="1"/>
  <c r="AT17" i="17"/>
  <c r="AC28" i="6" s="1"/>
  <c r="AC60" i="6" s="1"/>
  <c r="AT11" i="17"/>
  <c r="AC22" i="6" s="1"/>
  <c r="AC54" i="6" s="1"/>
  <c r="AT18" i="17"/>
  <c r="AC29" i="6" s="1"/>
  <c r="AC61" i="6" s="1"/>
  <c r="AT15" i="17"/>
  <c r="AC26" i="6" s="1"/>
  <c r="AC58" i="6" s="1"/>
  <c r="AU32" i="17"/>
  <c r="AU29" i="17"/>
  <c r="AU30" i="17"/>
  <c r="AU26" i="17"/>
  <c r="AU33" i="17"/>
  <c r="AU24" i="17"/>
  <c r="AU28" i="17"/>
  <c r="AU23" i="17"/>
  <c r="AU34" i="17"/>
  <c r="AU31" i="17"/>
  <c r="AT16" i="13"/>
  <c r="AC15" i="6" s="1"/>
  <c r="AC46" i="6" s="1"/>
  <c r="AE87" i="3" s="1"/>
  <c r="AT17" i="13"/>
  <c r="AC16" i="6" s="1"/>
  <c r="AC47" i="6" s="1"/>
  <c r="AE88" i="3" s="1"/>
  <c r="AT10" i="13"/>
  <c r="AC9" i="6" s="1"/>
  <c r="AC40" i="6" s="1"/>
  <c r="AE81" i="3" s="1"/>
  <c r="AT7" i="13"/>
  <c r="AC6" i="6" s="1"/>
  <c r="AC37" i="6" s="1"/>
  <c r="AE78" i="3" s="1"/>
  <c r="AT13" i="13"/>
  <c r="AC12" i="6" s="1"/>
  <c r="AC43" i="6" s="1"/>
  <c r="AE84" i="3" s="1"/>
  <c r="AT15" i="13"/>
  <c r="AC14" i="6" s="1"/>
  <c r="AC45" i="6" s="1"/>
  <c r="AE86" i="3" s="1"/>
  <c r="AT11" i="13"/>
  <c r="AC10" i="6" s="1"/>
  <c r="AC41" i="6" s="1"/>
  <c r="AE82" i="3" s="1"/>
  <c r="AT8" i="13"/>
  <c r="AC7" i="6" s="1"/>
  <c r="AC38" i="6" s="1"/>
  <c r="AE79" i="3" s="1"/>
  <c r="AT9" i="13"/>
  <c r="AC8" i="6" s="1"/>
  <c r="AC39" i="6" s="1"/>
  <c r="AE80" i="3" s="1"/>
  <c r="AT6" i="13"/>
  <c r="AC5" i="6" s="1"/>
  <c r="AC36" i="6" s="1"/>
  <c r="AT12" i="13"/>
  <c r="AC11" i="6" s="1"/>
  <c r="AC42" i="6" s="1"/>
  <c r="AE83" i="3" s="1"/>
  <c r="AT14" i="13"/>
  <c r="AC13" i="6" s="1"/>
  <c r="AC44" i="6" s="1"/>
  <c r="AE85" i="3" s="1"/>
  <c r="AT25" i="17"/>
  <c r="AT32" i="17"/>
  <c r="AT27" i="17"/>
  <c r="AT29" i="17"/>
  <c r="AT34" i="17"/>
  <c r="AT26" i="17"/>
  <c r="AT33" i="17"/>
  <c r="AT30" i="17"/>
  <c r="AT24" i="17"/>
  <c r="AT31" i="17"/>
  <c r="AT23" i="17"/>
  <c r="AT28" i="17"/>
  <c r="AE50" i="6"/>
  <c r="AE35" i="6"/>
  <c r="AE18" i="6"/>
  <c r="AE4" i="6"/>
  <c r="AS18" i="13"/>
  <c r="AC24" i="6"/>
  <c r="AC56" i="6" s="1"/>
  <c r="AJ16" i="8"/>
  <c r="AG104" i="3"/>
  <c r="AG146" i="3"/>
  <c r="AG90" i="3"/>
  <c r="AG132" i="3"/>
  <c r="AG58" i="3"/>
  <c r="AV7" i="17" s="1"/>
  <c r="AG118" i="3"/>
  <c r="AG76" i="3"/>
  <c r="AH46" i="3"/>
  <c r="AG48" i="3"/>
  <c r="D45" i="2"/>
  <c r="D46" i="2" s="1"/>
  <c r="E45" i="2"/>
  <c r="E46" i="2" s="1"/>
  <c r="F45" i="2"/>
  <c r="F46" i="2" s="1"/>
  <c r="G45" i="2"/>
  <c r="G46" i="2" s="1"/>
  <c r="H45" i="2"/>
  <c r="H51" i="2" s="1"/>
  <c r="I45" i="2"/>
  <c r="I51" i="2" s="1"/>
  <c r="J45" i="2"/>
  <c r="J46" i="2" s="1"/>
  <c r="K45" i="2"/>
  <c r="K46" i="2" s="1"/>
  <c r="C46" i="2"/>
  <c r="C49" i="2"/>
  <c r="D49" i="2"/>
  <c r="E49" i="2"/>
  <c r="F49" i="2"/>
  <c r="G49" i="2"/>
  <c r="H49" i="2"/>
  <c r="I49" i="2"/>
  <c r="J49" i="2"/>
  <c r="K49" i="2"/>
  <c r="C66" i="2"/>
  <c r="AU11" i="17" l="1"/>
  <c r="AD22" i="6" s="1"/>
  <c r="AD54" i="6" s="1"/>
  <c r="AU27" i="17"/>
  <c r="AU14" i="17"/>
  <c r="AD25" i="6" s="1"/>
  <c r="AU16" i="17"/>
  <c r="AD27" i="6" s="1"/>
  <c r="AD59" i="6" s="1"/>
  <c r="AU13" i="17"/>
  <c r="AD24" i="6" s="1"/>
  <c r="AD56" i="6" s="1"/>
  <c r="D16" i="3"/>
  <c r="AU30" i="13"/>
  <c r="AU19" i="17"/>
  <c r="AD30" i="6" s="1"/>
  <c r="AD62" i="6" s="1"/>
  <c r="AU12" i="17"/>
  <c r="AD23" i="6" s="1"/>
  <c r="AD55" i="6" s="1"/>
  <c r="AU25" i="13"/>
  <c r="AU23" i="13"/>
  <c r="AU18" i="17"/>
  <c r="AD29" i="6" s="1"/>
  <c r="AD61" i="6" s="1"/>
  <c r="AU21" i="13"/>
  <c r="AU15" i="17"/>
  <c r="AD26" i="6" s="1"/>
  <c r="AD58" i="6" s="1"/>
  <c r="AU31" i="13"/>
  <c r="AE77" i="3"/>
  <c r="AC48" i="6"/>
  <c r="AC19" i="6"/>
  <c r="AC51" i="6" s="1"/>
  <c r="AT20" i="17"/>
  <c r="AV15" i="17"/>
  <c r="AE26" i="6" s="1"/>
  <c r="AV12" i="17"/>
  <c r="AE23" i="6" s="1"/>
  <c r="AV19" i="17"/>
  <c r="AE30" i="6" s="1"/>
  <c r="AV8" i="17"/>
  <c r="AE19" i="6" s="1"/>
  <c r="AV10" i="17"/>
  <c r="AE21" i="6" s="1"/>
  <c r="AV17" i="17"/>
  <c r="AE28" i="6" s="1"/>
  <c r="AV9" i="17"/>
  <c r="AE20" i="6" s="1"/>
  <c r="AV16" i="17"/>
  <c r="AE27" i="6" s="1"/>
  <c r="AV13" i="17"/>
  <c r="AE24" i="6" s="1"/>
  <c r="AV14" i="17"/>
  <c r="AE25" i="6" s="1"/>
  <c r="AV11" i="17"/>
  <c r="AE22" i="6" s="1"/>
  <c r="AV18" i="17"/>
  <c r="AE29" i="6" s="1"/>
  <c r="AV22" i="17"/>
  <c r="AV5" i="13"/>
  <c r="AT18" i="13"/>
  <c r="AV20" i="13"/>
  <c r="AF35" i="6"/>
  <c r="AF18" i="6"/>
  <c r="AF4" i="6"/>
  <c r="AF50" i="6"/>
  <c r="AK16" i="8"/>
  <c r="AH58" i="3"/>
  <c r="AW5" i="13" s="1"/>
  <c r="AH146" i="3"/>
  <c r="AH132" i="3"/>
  <c r="AH104" i="3"/>
  <c r="AH90" i="3"/>
  <c r="AH118" i="3"/>
  <c r="AH76" i="3"/>
  <c r="AD57" i="6"/>
  <c r="AD53" i="6"/>
  <c r="AD51" i="6"/>
  <c r="AD52" i="6"/>
  <c r="AU18" i="13"/>
  <c r="AD5" i="6"/>
  <c r="AD36" i="6" s="1"/>
  <c r="AD60" i="6"/>
  <c r="AD43" i="6"/>
  <c r="AF84" i="3" s="1"/>
  <c r="AD37" i="6"/>
  <c r="AF78" i="3" s="1"/>
  <c r="AD44" i="6"/>
  <c r="AF85" i="3" s="1"/>
  <c r="AD46" i="6"/>
  <c r="AF87" i="3" s="1"/>
  <c r="AD41" i="6"/>
  <c r="AF82" i="3" s="1"/>
  <c r="AD38" i="6"/>
  <c r="AF79" i="3" s="1"/>
  <c r="AD45" i="6"/>
  <c r="AF86" i="3" s="1"/>
  <c r="AD42" i="6"/>
  <c r="AF83" i="3" s="1"/>
  <c r="AD47" i="6"/>
  <c r="AF88" i="3" s="1"/>
  <c r="AD39" i="6"/>
  <c r="AF80" i="3" s="1"/>
  <c r="AD40" i="6"/>
  <c r="AF81" i="3" s="1"/>
  <c r="AH48" i="3"/>
  <c r="E51" i="2"/>
  <c r="E56" i="2" s="1"/>
  <c r="K51" i="2"/>
  <c r="K65" i="2" s="1"/>
  <c r="G51" i="2"/>
  <c r="G55" i="2" s="1"/>
  <c r="F52" i="2"/>
  <c r="F63" i="2" s="1"/>
  <c r="I46" i="2"/>
  <c r="I52" i="2" s="1"/>
  <c r="D52" i="2"/>
  <c r="D63" i="2" s="1"/>
  <c r="C57" i="2"/>
  <c r="F51" i="2"/>
  <c r="F55" i="2" s="1"/>
  <c r="C52" i="2"/>
  <c r="C58" i="2" s="1"/>
  <c r="K52" i="2"/>
  <c r="K62" i="2" s="1"/>
  <c r="C65" i="2"/>
  <c r="D51" i="2"/>
  <c r="D57" i="2" s="1"/>
  <c r="H46" i="2"/>
  <c r="H52" i="2" s="1"/>
  <c r="G52" i="2"/>
  <c r="G61" i="2" s="1"/>
  <c r="E52" i="2"/>
  <c r="E63" i="2" s="1"/>
  <c r="J52" i="2"/>
  <c r="I57" i="2"/>
  <c r="I56" i="2"/>
  <c r="I55" i="2"/>
  <c r="I65" i="2"/>
  <c r="I66" i="2"/>
  <c r="H66" i="2"/>
  <c r="H55" i="2"/>
  <c r="H65" i="2"/>
  <c r="H56" i="2"/>
  <c r="H57" i="2"/>
  <c r="J51" i="2"/>
  <c r="E65" i="2"/>
  <c r="E57" i="2" l="1"/>
  <c r="AC47" i="3" a="1"/>
  <c r="X47" i="3" a="1"/>
  <c r="V47" i="3" a="1"/>
  <c r="AD47" i="3" a="1"/>
  <c r="Q47" i="3" a="1"/>
  <c r="P47" i="3" a="1"/>
  <c r="Y47" i="3" a="1"/>
  <c r="AA47" i="3" a="1"/>
  <c r="AE47" i="3" a="1"/>
  <c r="W47" i="3" a="1"/>
  <c r="N47" i="3" a="1"/>
  <c r="L47" i="3" a="1"/>
  <c r="AB47" i="3" a="1"/>
  <c r="U47" i="3" a="1"/>
  <c r="R47" i="3" a="1"/>
  <c r="T47" i="3" a="1"/>
  <c r="M47" i="3" a="1"/>
  <c r="O47" i="3" a="1"/>
  <c r="Z47" i="3" a="1"/>
  <c r="S47" i="3" a="1"/>
  <c r="E66" i="2"/>
  <c r="K57" i="2"/>
  <c r="AU20" i="17"/>
  <c r="AF77" i="3"/>
  <c r="AD48" i="6"/>
  <c r="AF47" i="3" s="1" a="1"/>
  <c r="AW7" i="17"/>
  <c r="AW15" i="17" s="1"/>
  <c r="AF26" i="6" s="1"/>
  <c r="AW22" i="17"/>
  <c r="AW28" i="17" s="1"/>
  <c r="AW20" i="13"/>
  <c r="AW21" i="13" s="1"/>
  <c r="AV20" i="17"/>
  <c r="AV16" i="13"/>
  <c r="AE15" i="6" s="1"/>
  <c r="AE46" i="6" s="1"/>
  <c r="AG87" i="3" s="1"/>
  <c r="AV14" i="13"/>
  <c r="AE13" i="6" s="1"/>
  <c r="AE44" i="6" s="1"/>
  <c r="AG85" i="3" s="1"/>
  <c r="AV15" i="13"/>
  <c r="AE14" i="6" s="1"/>
  <c r="AE45" i="6" s="1"/>
  <c r="AG86" i="3" s="1"/>
  <c r="AV17" i="13"/>
  <c r="AE16" i="6" s="1"/>
  <c r="AE47" i="6" s="1"/>
  <c r="AG88" i="3" s="1"/>
  <c r="AV6" i="13"/>
  <c r="AE5" i="6" s="1"/>
  <c r="AE36" i="6" s="1"/>
  <c r="AV9" i="13"/>
  <c r="AE8" i="6" s="1"/>
  <c r="AE39" i="6" s="1"/>
  <c r="AG80" i="3" s="1"/>
  <c r="AV8" i="13"/>
  <c r="AE7" i="6" s="1"/>
  <c r="AE38" i="6" s="1"/>
  <c r="AG79" i="3" s="1"/>
  <c r="AV7" i="13"/>
  <c r="AE6" i="6" s="1"/>
  <c r="AE37" i="6" s="1"/>
  <c r="AG78" i="3" s="1"/>
  <c r="AV11" i="13"/>
  <c r="AE10" i="6" s="1"/>
  <c r="AE41" i="6" s="1"/>
  <c r="AG82" i="3" s="1"/>
  <c r="AV10" i="13"/>
  <c r="AE9" i="6" s="1"/>
  <c r="AE40" i="6" s="1"/>
  <c r="AG81" i="3" s="1"/>
  <c r="AV12" i="13"/>
  <c r="AE11" i="6" s="1"/>
  <c r="AE42" i="6" s="1"/>
  <c r="AG83" i="3" s="1"/>
  <c r="AV13" i="13"/>
  <c r="AE12" i="6" s="1"/>
  <c r="AE43" i="6" s="1"/>
  <c r="AG84" i="3" s="1"/>
  <c r="AV28" i="17"/>
  <c r="AV25" i="17"/>
  <c r="AV32" i="17"/>
  <c r="AV30" i="17"/>
  <c r="AV29" i="17"/>
  <c r="AV26" i="17"/>
  <c r="AV33" i="17"/>
  <c r="AV27" i="17"/>
  <c r="AV34" i="17"/>
  <c r="AV24" i="17"/>
  <c r="AV31" i="17"/>
  <c r="AV23" i="17"/>
  <c r="AW26" i="17"/>
  <c r="AW29" i="17"/>
  <c r="AW27" i="17"/>
  <c r="AW30" i="17"/>
  <c r="AW24" i="17"/>
  <c r="AW17" i="13"/>
  <c r="AF16" i="6" s="1"/>
  <c r="AW13" i="13"/>
  <c r="AF12" i="6" s="1"/>
  <c r="AW6" i="13"/>
  <c r="AF5" i="6" s="1"/>
  <c r="AW16" i="13"/>
  <c r="AF15" i="6" s="1"/>
  <c r="AW10" i="13"/>
  <c r="AF9" i="6" s="1"/>
  <c r="AW8" i="13"/>
  <c r="AF7" i="6" s="1"/>
  <c r="AW7" i="13"/>
  <c r="AF6" i="6" s="1"/>
  <c r="AW15" i="13"/>
  <c r="AF14" i="6" s="1"/>
  <c r="AW12" i="13"/>
  <c r="AF11" i="6" s="1"/>
  <c r="AW14" i="13"/>
  <c r="AF13" i="6" s="1"/>
  <c r="AW9" i="13"/>
  <c r="AF8" i="6" s="1"/>
  <c r="AW11" i="13"/>
  <c r="AF10" i="6" s="1"/>
  <c r="AV32" i="13"/>
  <c r="AV31" i="13"/>
  <c r="AV29" i="13"/>
  <c r="AV30" i="13"/>
  <c r="AV27" i="13"/>
  <c r="AV26" i="13"/>
  <c r="AV28" i="13"/>
  <c r="AV23" i="13"/>
  <c r="AV25" i="13"/>
  <c r="AV21" i="13"/>
  <c r="AV24" i="13"/>
  <c r="AV22" i="13"/>
  <c r="AE51" i="6"/>
  <c r="G56" i="2"/>
  <c r="AE56" i="6"/>
  <c r="AE52" i="6"/>
  <c r="AE62" i="6"/>
  <c r="AE60" i="6"/>
  <c r="AE55" i="6"/>
  <c r="AE61" i="6"/>
  <c r="AE54" i="6"/>
  <c r="AE57" i="6"/>
  <c r="AE59" i="6"/>
  <c r="AE58" i="6"/>
  <c r="AE53" i="6"/>
  <c r="G65" i="2"/>
  <c r="K55" i="2"/>
  <c r="G57" i="2"/>
  <c r="D65" i="2"/>
  <c r="F43" i="3" s="1"/>
  <c r="G66" i="2"/>
  <c r="K66" i="2"/>
  <c r="E55" i="2"/>
  <c r="K56" i="2"/>
  <c r="D66" i="2"/>
  <c r="F44" i="3" s="1"/>
  <c r="E61" i="2"/>
  <c r="E59" i="2"/>
  <c r="E58" i="2"/>
  <c r="F62" i="2"/>
  <c r="F58" i="2"/>
  <c r="F64" i="2"/>
  <c r="F61" i="2"/>
  <c r="D62" i="2"/>
  <c r="E62" i="2"/>
  <c r="D61" i="2"/>
  <c r="K61" i="2"/>
  <c r="C60" i="2"/>
  <c r="F59" i="2"/>
  <c r="E60" i="2"/>
  <c r="D60" i="2"/>
  <c r="K63" i="2"/>
  <c r="C59" i="2"/>
  <c r="K64" i="2"/>
  <c r="K60" i="2"/>
  <c r="K58" i="2"/>
  <c r="K59" i="2"/>
  <c r="F65" i="2"/>
  <c r="F60" i="2"/>
  <c r="E64" i="2"/>
  <c r="H59" i="2"/>
  <c r="H61" i="2"/>
  <c r="I61" i="2"/>
  <c r="I64" i="2"/>
  <c r="I63" i="2"/>
  <c r="I58" i="2"/>
  <c r="I62" i="2"/>
  <c r="I60" i="2"/>
  <c r="I59" i="2"/>
  <c r="G58" i="2"/>
  <c r="G64" i="2"/>
  <c r="D64" i="2"/>
  <c r="D59" i="2"/>
  <c r="D58" i="2"/>
  <c r="F36" i="3" s="1"/>
  <c r="F56" i="2"/>
  <c r="F66" i="2"/>
  <c r="D55" i="2"/>
  <c r="F33" i="3" s="1"/>
  <c r="C61" i="2"/>
  <c r="C64" i="2"/>
  <c r="C63" i="2"/>
  <c r="F41" i="3" s="1"/>
  <c r="F57" i="2"/>
  <c r="F35" i="3" s="1"/>
  <c r="H58" i="2"/>
  <c r="D56" i="2"/>
  <c r="F34" i="3" s="1"/>
  <c r="C62" i="2"/>
  <c r="H64" i="2"/>
  <c r="G60" i="2"/>
  <c r="H63" i="2"/>
  <c r="G59" i="2"/>
  <c r="H62" i="2"/>
  <c r="G63" i="2"/>
  <c r="G62" i="2"/>
  <c r="H60" i="2"/>
  <c r="J59" i="2"/>
  <c r="J60" i="2"/>
  <c r="J61" i="2"/>
  <c r="J63" i="2"/>
  <c r="J64" i="2"/>
  <c r="J62" i="2"/>
  <c r="J58" i="2"/>
  <c r="J65" i="2"/>
  <c r="J66" i="2"/>
  <c r="J55" i="2"/>
  <c r="J56" i="2"/>
  <c r="J57" i="2"/>
  <c r="F38" i="3" l="1"/>
  <c r="AW31" i="17"/>
  <c r="AW33" i="17"/>
  <c r="AW23" i="17"/>
  <c r="AW24" i="13"/>
  <c r="AW32" i="17"/>
  <c r="AW25" i="17"/>
  <c r="AW34" i="17"/>
  <c r="AW32" i="13"/>
  <c r="AW27" i="13"/>
  <c r="AW30" i="13"/>
  <c r="AW31" i="13"/>
  <c r="AW25" i="13"/>
  <c r="AW28" i="13"/>
  <c r="AW23" i="13"/>
  <c r="AW22" i="13"/>
  <c r="AW26" i="13"/>
  <c r="AW29" i="13"/>
  <c r="AW13" i="17"/>
  <c r="AF24" i="6" s="1"/>
  <c r="AF56" i="6" s="1"/>
  <c r="AW14" i="17"/>
  <c r="AF25" i="6" s="1"/>
  <c r="AW10" i="17"/>
  <c r="AF21" i="6" s="1"/>
  <c r="AF53" i="6" s="1"/>
  <c r="AW17" i="17"/>
  <c r="AF28" i="6" s="1"/>
  <c r="AF60" i="6" s="1"/>
  <c r="AW11" i="17"/>
  <c r="AF22" i="6" s="1"/>
  <c r="AF54" i="6" s="1"/>
  <c r="AW18" i="17"/>
  <c r="AF29" i="6" s="1"/>
  <c r="AF61" i="6" s="1"/>
  <c r="AW8" i="17"/>
  <c r="AF19" i="6" s="1"/>
  <c r="AF51" i="6" s="1"/>
  <c r="AW16" i="17"/>
  <c r="AF27" i="6" s="1"/>
  <c r="AF59" i="6" s="1"/>
  <c r="AW9" i="17"/>
  <c r="AF20" i="6" s="1"/>
  <c r="AW19" i="17"/>
  <c r="AF30" i="6" s="1"/>
  <c r="AF62" i="6" s="1"/>
  <c r="AW12" i="17"/>
  <c r="AF23" i="6" s="1"/>
  <c r="AF55" i="6" s="1"/>
  <c r="Q99" i="3"/>
  <c r="AE99" i="3"/>
  <c r="R99" i="3"/>
  <c r="AF99" i="3"/>
  <c r="AD99" i="3"/>
  <c r="E99" i="3"/>
  <c r="S99" i="3"/>
  <c r="AA99" i="3"/>
  <c r="F99" i="3"/>
  <c r="T99" i="3"/>
  <c r="AH99" i="3"/>
  <c r="W99" i="3"/>
  <c r="G99" i="3"/>
  <c r="U99" i="3"/>
  <c r="Z99" i="3"/>
  <c r="H99" i="3"/>
  <c r="V99" i="3"/>
  <c r="I99" i="3"/>
  <c r="J99" i="3"/>
  <c r="X99" i="3"/>
  <c r="K99" i="3"/>
  <c r="Y99" i="3"/>
  <c r="L99" i="3"/>
  <c r="AB99" i="3"/>
  <c r="M99" i="3"/>
  <c r="P99" i="3"/>
  <c r="N99" i="3"/>
  <c r="AG99" i="3"/>
  <c r="O99" i="3"/>
  <c r="AC99" i="3"/>
  <c r="F39" i="3"/>
  <c r="F37" i="3"/>
  <c r="T95" i="3" s="1"/>
  <c r="F42" i="3"/>
  <c r="F100" i="3" s="1"/>
  <c r="F40" i="3"/>
  <c r="E98" i="3" s="1"/>
  <c r="E162" i="3"/>
  <c r="E161" i="3"/>
  <c r="E171" i="3"/>
  <c r="E164" i="3"/>
  <c r="E172" i="3"/>
  <c r="E169" i="3"/>
  <c r="E165" i="3"/>
  <c r="E170" i="3"/>
  <c r="E163" i="3"/>
  <c r="E168" i="3"/>
  <c r="E166" i="3"/>
  <c r="E167" i="3"/>
  <c r="AG77" i="3"/>
  <c r="AE48" i="6"/>
  <c r="AG47" i="3" s="1" a="1"/>
  <c r="AV18" i="13"/>
  <c r="N93" i="3"/>
  <c r="AB93" i="3"/>
  <c r="O93" i="3"/>
  <c r="AC93" i="3"/>
  <c r="Q93" i="3"/>
  <c r="AE93" i="3"/>
  <c r="S93" i="3"/>
  <c r="AG93" i="3"/>
  <c r="V93" i="3"/>
  <c r="K93" i="3"/>
  <c r="Z93" i="3"/>
  <c r="J93" i="3"/>
  <c r="P93" i="3"/>
  <c r="AD93" i="3"/>
  <c r="H93" i="3"/>
  <c r="AH93" i="3"/>
  <c r="I93" i="3"/>
  <c r="W93" i="3"/>
  <c r="Y93" i="3"/>
  <c r="AA93" i="3"/>
  <c r="X93" i="3"/>
  <c r="E93" i="3"/>
  <c r="R93" i="3"/>
  <c r="AF93" i="3"/>
  <c r="F93" i="3"/>
  <c r="T93" i="3"/>
  <c r="G93" i="3"/>
  <c r="U93" i="3"/>
  <c r="L93" i="3"/>
  <c r="M93" i="3"/>
  <c r="AF57" i="6"/>
  <c r="AF52" i="6"/>
  <c r="AH95" i="3"/>
  <c r="AH96" i="3"/>
  <c r="E91" i="3"/>
  <c r="F91" i="3"/>
  <c r="G91" i="3"/>
  <c r="H91" i="3"/>
  <c r="I91" i="3"/>
  <c r="J91" i="3"/>
  <c r="K91" i="3"/>
  <c r="L91" i="3"/>
  <c r="M91" i="3"/>
  <c r="N91" i="3"/>
  <c r="O91" i="3"/>
  <c r="P91" i="3"/>
  <c r="Q91" i="3"/>
  <c r="R91" i="3"/>
  <c r="S91" i="3"/>
  <c r="T91" i="3"/>
  <c r="U91" i="3"/>
  <c r="V91" i="3"/>
  <c r="W91" i="3"/>
  <c r="X91" i="3"/>
  <c r="Y91" i="3"/>
  <c r="Z91" i="3"/>
  <c r="AA91" i="3"/>
  <c r="AB91" i="3"/>
  <c r="AC91" i="3"/>
  <c r="AD91" i="3"/>
  <c r="AE91" i="3"/>
  <c r="AF91" i="3"/>
  <c r="AG91" i="3"/>
  <c r="E102" i="3"/>
  <c r="F102" i="3"/>
  <c r="G102" i="3"/>
  <c r="H102" i="3"/>
  <c r="I102" i="3"/>
  <c r="J102" i="3"/>
  <c r="K102" i="3"/>
  <c r="L102" i="3"/>
  <c r="M102" i="3"/>
  <c r="N102" i="3"/>
  <c r="O102" i="3"/>
  <c r="P102" i="3"/>
  <c r="Q102" i="3"/>
  <c r="R102" i="3"/>
  <c r="S102" i="3"/>
  <c r="T102" i="3"/>
  <c r="U102" i="3"/>
  <c r="V102" i="3"/>
  <c r="W102" i="3"/>
  <c r="X102" i="3"/>
  <c r="Y102" i="3"/>
  <c r="Z102" i="3"/>
  <c r="AA102" i="3"/>
  <c r="AB102" i="3"/>
  <c r="AC102" i="3"/>
  <c r="AD102" i="3"/>
  <c r="AE102" i="3"/>
  <c r="AF102" i="3"/>
  <c r="AG102" i="3"/>
  <c r="AH91" i="3"/>
  <c r="E92" i="3"/>
  <c r="F92" i="3"/>
  <c r="G92" i="3"/>
  <c r="H92" i="3"/>
  <c r="I92" i="3"/>
  <c r="J92" i="3"/>
  <c r="K92" i="3"/>
  <c r="L92" i="3"/>
  <c r="M92" i="3"/>
  <c r="N92" i="3"/>
  <c r="O92" i="3"/>
  <c r="P92" i="3"/>
  <c r="Q92" i="3"/>
  <c r="R92" i="3"/>
  <c r="S92" i="3"/>
  <c r="T92" i="3"/>
  <c r="U92" i="3"/>
  <c r="V92" i="3"/>
  <c r="W92" i="3"/>
  <c r="X92" i="3"/>
  <c r="Y92" i="3"/>
  <c r="Z92" i="3"/>
  <c r="AA92" i="3"/>
  <c r="AB92" i="3"/>
  <c r="AC92" i="3"/>
  <c r="AD92" i="3"/>
  <c r="AE92" i="3"/>
  <c r="AF92" i="3"/>
  <c r="AG92" i="3"/>
  <c r="E96" i="3"/>
  <c r="F96" i="3"/>
  <c r="G96" i="3"/>
  <c r="H96" i="3"/>
  <c r="I96" i="3"/>
  <c r="J96" i="3"/>
  <c r="K96" i="3"/>
  <c r="L96" i="3"/>
  <c r="M96" i="3"/>
  <c r="N96" i="3"/>
  <c r="O96" i="3"/>
  <c r="P96" i="3"/>
  <c r="Q96" i="3"/>
  <c r="R96" i="3"/>
  <c r="S96" i="3"/>
  <c r="T96" i="3"/>
  <c r="U96" i="3"/>
  <c r="V96" i="3"/>
  <c r="W96" i="3"/>
  <c r="X96" i="3"/>
  <c r="Y96" i="3"/>
  <c r="Z96" i="3"/>
  <c r="AA96" i="3"/>
  <c r="AB96" i="3"/>
  <c r="AC96" i="3"/>
  <c r="AD96" i="3"/>
  <c r="AE96" i="3"/>
  <c r="AF96" i="3"/>
  <c r="AG96" i="3"/>
  <c r="E101" i="3"/>
  <c r="F101" i="3"/>
  <c r="G101" i="3"/>
  <c r="H101" i="3"/>
  <c r="I101" i="3"/>
  <c r="J101" i="3"/>
  <c r="K101" i="3"/>
  <c r="L101" i="3"/>
  <c r="M101" i="3"/>
  <c r="N101" i="3"/>
  <c r="O101" i="3"/>
  <c r="P101" i="3"/>
  <c r="Q101" i="3"/>
  <c r="R101" i="3"/>
  <c r="S101" i="3"/>
  <c r="T101" i="3"/>
  <c r="U101" i="3"/>
  <c r="V101" i="3"/>
  <c r="W101" i="3"/>
  <c r="X101" i="3"/>
  <c r="Y101" i="3"/>
  <c r="Z101" i="3"/>
  <c r="AA101" i="3"/>
  <c r="AB101" i="3"/>
  <c r="AC101" i="3"/>
  <c r="AD101" i="3"/>
  <c r="AE101" i="3"/>
  <c r="AF101" i="3"/>
  <c r="AG101" i="3"/>
  <c r="AH92" i="3"/>
  <c r="AH102" i="3"/>
  <c r="E94" i="3"/>
  <c r="F94" i="3"/>
  <c r="G94" i="3"/>
  <c r="H94" i="3"/>
  <c r="I94" i="3"/>
  <c r="J94" i="3"/>
  <c r="K94" i="3"/>
  <c r="L94" i="3"/>
  <c r="M94" i="3"/>
  <c r="N94" i="3"/>
  <c r="O94" i="3"/>
  <c r="P94" i="3"/>
  <c r="Q94" i="3"/>
  <c r="R94" i="3"/>
  <c r="S94" i="3"/>
  <c r="T94" i="3"/>
  <c r="U94" i="3"/>
  <c r="V94" i="3"/>
  <c r="W94" i="3"/>
  <c r="X94" i="3"/>
  <c r="Y94" i="3"/>
  <c r="Z94" i="3"/>
  <c r="AA94" i="3"/>
  <c r="AB94" i="3"/>
  <c r="AC94" i="3"/>
  <c r="AD94" i="3"/>
  <c r="AE94" i="3"/>
  <c r="AF94" i="3"/>
  <c r="AG94" i="3"/>
  <c r="AH101" i="3"/>
  <c r="AH94" i="3"/>
  <c r="J95" i="3"/>
  <c r="Q95" i="3"/>
  <c r="R95" i="3"/>
  <c r="S95" i="3"/>
  <c r="AW18" i="13"/>
  <c r="AF58" i="6"/>
  <c r="AF40" i="6"/>
  <c r="AH81" i="3" s="1"/>
  <c r="AF47" i="6"/>
  <c r="AH88" i="3" s="1"/>
  <c r="AF38" i="6"/>
  <c r="AH79" i="3" s="1"/>
  <c r="AF36" i="6"/>
  <c r="AF45" i="6"/>
  <c r="AH86" i="3" s="1"/>
  <c r="AF43" i="6"/>
  <c r="AH84" i="3" s="1"/>
  <c r="AF46" i="6"/>
  <c r="AH87" i="3" s="1"/>
  <c r="AF41" i="6"/>
  <c r="AH82" i="3" s="1"/>
  <c r="AF44" i="6"/>
  <c r="AH85" i="3" s="1"/>
  <c r="AF39" i="6"/>
  <c r="AH80" i="3" s="1"/>
  <c r="AF42" i="6"/>
  <c r="AH83" i="3" s="1"/>
  <c r="AF37" i="6"/>
  <c r="AH78" i="3" s="1"/>
  <c r="I16" i="5"/>
  <c r="AH98" i="3" l="1"/>
  <c r="AB95" i="3"/>
  <c r="O98" i="3"/>
  <c r="O95" i="3"/>
  <c r="N95" i="3"/>
  <c r="L95" i="3"/>
  <c r="P95" i="3"/>
  <c r="K95" i="3"/>
  <c r="AG95" i="3"/>
  <c r="AF95" i="3"/>
  <c r="AE95" i="3"/>
  <c r="AD95" i="3"/>
  <c r="AE100" i="3"/>
  <c r="AC95" i="3"/>
  <c r="AD100" i="3"/>
  <c r="P98" i="3"/>
  <c r="C91" i="3"/>
  <c r="F161" i="3" s="1"/>
  <c r="H100" i="3"/>
  <c r="C102" i="3"/>
  <c r="F172" i="3" s="1"/>
  <c r="AB100" i="3"/>
  <c r="C92" i="3"/>
  <c r="F162" i="3" s="1"/>
  <c r="AG98" i="3"/>
  <c r="AA100" i="3"/>
  <c r="J98" i="3"/>
  <c r="AF98" i="3"/>
  <c r="Y100" i="3"/>
  <c r="AE98" i="3"/>
  <c r="I95" i="3"/>
  <c r="AC98" i="3"/>
  <c r="H95" i="3"/>
  <c r="V98" i="3"/>
  <c r="O100" i="3"/>
  <c r="X95" i="3"/>
  <c r="G95" i="3"/>
  <c r="C101" i="3"/>
  <c r="F171" i="3" s="1"/>
  <c r="U98" i="3"/>
  <c r="N100" i="3"/>
  <c r="U100" i="3"/>
  <c r="Z95" i="3"/>
  <c r="P100" i="3"/>
  <c r="W95" i="3"/>
  <c r="F95" i="3"/>
  <c r="C94" i="3"/>
  <c r="F164" i="3" s="1"/>
  <c r="T98" i="3"/>
  <c r="M100" i="3"/>
  <c r="V95" i="3"/>
  <c r="E95" i="3"/>
  <c r="S98" i="3"/>
  <c r="L100" i="3"/>
  <c r="C93" i="3"/>
  <c r="F163" i="3" s="1"/>
  <c r="C96" i="3"/>
  <c r="F166" i="3" s="1"/>
  <c r="AD98" i="3"/>
  <c r="T100" i="3"/>
  <c r="U95" i="3"/>
  <c r="R98" i="3"/>
  <c r="K100" i="3"/>
  <c r="C99" i="3"/>
  <c r="F169" i="3" s="1"/>
  <c r="I98" i="3"/>
  <c r="AC100" i="3"/>
  <c r="AH100" i="3"/>
  <c r="Y95" i="3"/>
  <c r="Q98" i="3"/>
  <c r="J100" i="3"/>
  <c r="N98" i="3"/>
  <c r="K98" i="3"/>
  <c r="AB98" i="3"/>
  <c r="F98" i="3"/>
  <c r="Y98" i="3"/>
  <c r="Z100" i="3"/>
  <c r="I100" i="3"/>
  <c r="L98" i="3"/>
  <c r="X98" i="3"/>
  <c r="H98" i="3"/>
  <c r="W100" i="3"/>
  <c r="E97" i="3"/>
  <c r="Q100" i="3"/>
  <c r="X100" i="3"/>
  <c r="G100" i="3"/>
  <c r="AA95" i="3"/>
  <c r="M95" i="3"/>
  <c r="W98" i="3"/>
  <c r="G98" i="3"/>
  <c r="V100" i="3"/>
  <c r="AE97" i="3"/>
  <c r="Q97" i="3"/>
  <c r="AH97" i="3"/>
  <c r="AD97" i="3"/>
  <c r="P97" i="3"/>
  <c r="O97" i="3"/>
  <c r="R97" i="3"/>
  <c r="AF97" i="3"/>
  <c r="AA97" i="3"/>
  <c r="M97" i="3"/>
  <c r="AB97" i="3"/>
  <c r="Z97" i="3"/>
  <c r="Y97" i="3"/>
  <c r="K97" i="3"/>
  <c r="X97" i="3"/>
  <c r="J97" i="3"/>
  <c r="I97" i="3"/>
  <c r="AC97" i="3"/>
  <c r="L97" i="3"/>
  <c r="W97" i="3"/>
  <c r="V97" i="3"/>
  <c r="H97" i="3"/>
  <c r="AW20" i="17"/>
  <c r="U97" i="3"/>
  <c r="G97" i="3"/>
  <c r="T97" i="3"/>
  <c r="F97" i="3"/>
  <c r="N97" i="3"/>
  <c r="AG97" i="3"/>
  <c r="S97" i="3"/>
  <c r="AA98" i="3"/>
  <c r="M98" i="3"/>
  <c r="AG100" i="3"/>
  <c r="S100" i="3"/>
  <c r="E100" i="3"/>
  <c r="Z98" i="3"/>
  <c r="AF100" i="3"/>
  <c r="R100" i="3"/>
  <c r="AH77" i="3"/>
  <c r="AF48" i="6"/>
  <c r="I33" i="5"/>
  <c r="J16" i="5"/>
  <c r="I17" i="5"/>
  <c r="I20" i="5"/>
  <c r="C98" i="3" l="1"/>
  <c r="F168" i="3" s="1"/>
  <c r="C100" i="3"/>
  <c r="F170" i="3" s="1"/>
  <c r="C95" i="3"/>
  <c r="F165" i="3" s="1"/>
  <c r="K47" i="3" a="1"/>
  <c r="AH47" i="3" a="1"/>
  <c r="C97" i="3"/>
  <c r="F167" i="3" s="1"/>
  <c r="J33" i="5"/>
  <c r="E50" i="3" s="1"/>
  <c r="K16" i="5"/>
  <c r="J17" i="5"/>
  <c r="J20" i="5"/>
  <c r="E51" i="3" l="1"/>
  <c r="E52" i="3"/>
  <c r="K33" i="5"/>
  <c r="F50" i="3" s="1"/>
  <c r="K17" i="5"/>
  <c r="L16" i="5"/>
  <c r="K20" i="5"/>
  <c r="L17" i="5"/>
  <c r="F51" i="3" l="1"/>
  <c r="F52" i="3"/>
  <c r="L33" i="5"/>
  <c r="G50" i="3" s="1"/>
  <c r="E126" i="3"/>
  <c r="E128" i="3"/>
  <c r="E124" i="3"/>
  <c r="E129" i="3"/>
  <c r="E121" i="3"/>
  <c r="E120" i="3"/>
  <c r="E125" i="3"/>
  <c r="E127" i="3"/>
  <c r="E130" i="3"/>
  <c r="E119" i="3"/>
  <c r="E123" i="3"/>
  <c r="E122" i="3"/>
  <c r="E143" i="3"/>
  <c r="E134" i="3"/>
  <c r="E136" i="3"/>
  <c r="E144" i="3"/>
  <c r="E133" i="3"/>
  <c r="E137" i="3"/>
  <c r="E141" i="3"/>
  <c r="E138" i="3"/>
  <c r="E139" i="3"/>
  <c r="E140" i="3"/>
  <c r="E142" i="3"/>
  <c r="E135" i="3"/>
  <c r="L20" i="5"/>
  <c r="M16" i="5"/>
  <c r="F9" i="5"/>
  <c r="F7" i="5"/>
  <c r="F8" i="5"/>
  <c r="F10" i="5"/>
  <c r="F11" i="5"/>
  <c r="F12" i="5"/>
  <c r="F6" i="5"/>
  <c r="G52" i="3" l="1"/>
  <c r="G51" i="3"/>
  <c r="F121" i="3"/>
  <c r="F134" i="3"/>
  <c r="F133" i="3"/>
  <c r="F135" i="3"/>
  <c r="F144" i="3"/>
  <c r="F138" i="3"/>
  <c r="F139" i="3"/>
  <c r="F136" i="3"/>
  <c r="F140" i="3"/>
  <c r="F137" i="3"/>
  <c r="F142" i="3"/>
  <c r="F141" i="3"/>
  <c r="F143" i="3"/>
  <c r="F124" i="3"/>
  <c r="M33" i="5"/>
  <c r="H50" i="3" s="1"/>
  <c r="F129" i="3"/>
  <c r="F123" i="3"/>
  <c r="F125" i="3"/>
  <c r="F122" i="3"/>
  <c r="F128" i="3"/>
  <c r="F127" i="3"/>
  <c r="F119" i="3"/>
  <c r="F130" i="3"/>
  <c r="F120" i="3"/>
  <c r="F126" i="3"/>
  <c r="C33" i="3"/>
  <c r="M20" i="5"/>
  <c r="N16" i="5"/>
  <c r="M17" i="5"/>
  <c r="H51" i="3" l="1"/>
  <c r="H52" i="3"/>
  <c r="H18" i="5"/>
  <c r="AF31" i="5"/>
  <c r="AA53" i="3" s="1"/>
  <c r="AJ31" i="5"/>
  <c r="AE53" i="3" s="1"/>
  <c r="P31" i="5"/>
  <c r="K53" i="3" s="1"/>
  <c r="AJ18" i="5"/>
  <c r="AJ32" i="5" s="1"/>
  <c r="Z31" i="5"/>
  <c r="U53" i="3" s="1"/>
  <c r="L18" i="5"/>
  <c r="L32" i="5" s="1"/>
  <c r="G49" i="3" s="1"/>
  <c r="C18" i="5"/>
  <c r="K31" i="5"/>
  <c r="F53" i="3" s="1"/>
  <c r="J31" i="5"/>
  <c r="E53" i="3" s="1"/>
  <c r="AI18" i="5"/>
  <c r="AI32" i="5" s="1"/>
  <c r="AG31" i="5"/>
  <c r="AB53" i="3" s="1"/>
  <c r="AH18" i="5"/>
  <c r="AH32" i="5" s="1"/>
  <c r="X31" i="5"/>
  <c r="S53" i="3" s="1"/>
  <c r="U31" i="5"/>
  <c r="P53" i="3" s="1"/>
  <c r="T31" i="5"/>
  <c r="O53" i="3" s="1"/>
  <c r="AE31" i="5"/>
  <c r="Z53" i="3" s="1"/>
  <c r="AI31" i="5"/>
  <c r="AD53" i="3" s="1"/>
  <c r="AC31" i="5"/>
  <c r="X53" i="3" s="1"/>
  <c r="K18" i="5"/>
  <c r="K32" i="5" s="1"/>
  <c r="F49" i="3" s="1"/>
  <c r="Q31" i="5"/>
  <c r="L53" i="3" s="1"/>
  <c r="AL31" i="5"/>
  <c r="AG53" i="3" s="1"/>
  <c r="AG18" i="5"/>
  <c r="AG32" i="5" s="1"/>
  <c r="L31" i="5"/>
  <c r="G53" i="3" s="1"/>
  <c r="AL18" i="5"/>
  <c r="AL32" i="5" s="1"/>
  <c r="AK18" i="5"/>
  <c r="AK32" i="5" s="1"/>
  <c r="R31" i="5"/>
  <c r="M53" i="3" s="1"/>
  <c r="N31" i="5"/>
  <c r="I53" i="3" s="1"/>
  <c r="G18" i="5"/>
  <c r="AD31" i="5"/>
  <c r="Y53" i="3" s="1"/>
  <c r="M31" i="5"/>
  <c r="I31" i="5"/>
  <c r="AK31" i="5"/>
  <c r="AF53" i="3" s="1"/>
  <c r="E18" i="5"/>
  <c r="D18" i="5"/>
  <c r="S31" i="5"/>
  <c r="N53" i="3" s="1"/>
  <c r="F18" i="5"/>
  <c r="AA31" i="5"/>
  <c r="V53" i="3" s="1"/>
  <c r="G121" i="3"/>
  <c r="G130" i="3"/>
  <c r="G119" i="3"/>
  <c r="G126" i="3"/>
  <c r="G128" i="3"/>
  <c r="G120" i="3"/>
  <c r="G127" i="3"/>
  <c r="G124" i="3"/>
  <c r="G125" i="3"/>
  <c r="AM18" i="5"/>
  <c r="AM32" i="5" s="1"/>
  <c r="AM31" i="5"/>
  <c r="AH53" i="3" s="1"/>
  <c r="O31" i="5"/>
  <c r="J53" i="3" s="1"/>
  <c r="J18" i="5"/>
  <c r="J32" i="5" s="1"/>
  <c r="E49" i="3" s="1"/>
  <c r="AB31" i="5"/>
  <c r="W53" i="3" s="1"/>
  <c r="AH31" i="5"/>
  <c r="AC53" i="3" s="1"/>
  <c r="W31" i="5"/>
  <c r="R53" i="3" s="1"/>
  <c r="I18" i="5"/>
  <c r="I32" i="5" s="1"/>
  <c r="Y31" i="5"/>
  <c r="T53" i="3" s="1"/>
  <c r="V31" i="5"/>
  <c r="Q53" i="3" s="1"/>
  <c r="G123" i="3"/>
  <c r="G122" i="3"/>
  <c r="G129" i="3"/>
  <c r="N33" i="5"/>
  <c r="I50" i="3" s="1"/>
  <c r="N20" i="5"/>
  <c r="O16" i="5"/>
  <c r="N17" i="5"/>
  <c r="N18" i="5" s="1"/>
  <c r="N32" i="5" s="1"/>
  <c r="I49" i="3" s="1"/>
  <c r="M18" i="5"/>
  <c r="M32" i="5" s="1"/>
  <c r="H49" i="3" s="1"/>
  <c r="I51" i="3" l="1"/>
  <c r="I52" i="3"/>
  <c r="H53" i="3"/>
  <c r="H150" i="3" s="1"/>
  <c r="G137" i="3"/>
  <c r="G138" i="3"/>
  <c r="G140" i="3"/>
  <c r="G133" i="3"/>
  <c r="G139" i="3"/>
  <c r="G135" i="3"/>
  <c r="G144" i="3"/>
  <c r="G141" i="3"/>
  <c r="G134" i="3"/>
  <c r="G142" i="3"/>
  <c r="G143" i="3"/>
  <c r="G136" i="3"/>
  <c r="O33" i="5"/>
  <c r="J50" i="3" s="1"/>
  <c r="E151" i="3"/>
  <c r="E154" i="3"/>
  <c r="E157" i="3"/>
  <c r="E148" i="3"/>
  <c r="E147" i="3"/>
  <c r="E150" i="3"/>
  <c r="E153" i="3"/>
  <c r="E156" i="3"/>
  <c r="E149" i="3"/>
  <c r="E155" i="3"/>
  <c r="E152" i="3"/>
  <c r="E158" i="3"/>
  <c r="AH149" i="3"/>
  <c r="AH152" i="3"/>
  <c r="AH155" i="3"/>
  <c r="AH158" i="3"/>
  <c r="AH148" i="3"/>
  <c r="AH151" i="3"/>
  <c r="AH153" i="3"/>
  <c r="AH154" i="3"/>
  <c r="AH157" i="3"/>
  <c r="AH150" i="3"/>
  <c r="AH156" i="3"/>
  <c r="AH147" i="3"/>
  <c r="G151" i="3"/>
  <c r="G154" i="3"/>
  <c r="G157" i="3"/>
  <c r="G148" i="3"/>
  <c r="G158" i="3"/>
  <c r="G150" i="3"/>
  <c r="G155" i="3"/>
  <c r="G149" i="3"/>
  <c r="G147" i="3"/>
  <c r="G156" i="3"/>
  <c r="G152" i="3"/>
  <c r="G153" i="3"/>
  <c r="AF149" i="3"/>
  <c r="AF152" i="3"/>
  <c r="AF155" i="3"/>
  <c r="AF158" i="3"/>
  <c r="AF148" i="3"/>
  <c r="AF151" i="3"/>
  <c r="AF154" i="3"/>
  <c r="AF157" i="3"/>
  <c r="AF150" i="3"/>
  <c r="AF147" i="3"/>
  <c r="AF153" i="3"/>
  <c r="AF156" i="3"/>
  <c r="AD148" i="3"/>
  <c r="AD151" i="3"/>
  <c r="AD154" i="3"/>
  <c r="AD157" i="3"/>
  <c r="AD147" i="3"/>
  <c r="AD150" i="3"/>
  <c r="AD153" i="3"/>
  <c r="AD155" i="3"/>
  <c r="AD158" i="3"/>
  <c r="AD149" i="3"/>
  <c r="AD156" i="3"/>
  <c r="AD152" i="3"/>
  <c r="AG149" i="3"/>
  <c r="AG152" i="3"/>
  <c r="AG155" i="3"/>
  <c r="AG158" i="3"/>
  <c r="AG148" i="3"/>
  <c r="AG151" i="3"/>
  <c r="AG154" i="3"/>
  <c r="AG157" i="3"/>
  <c r="AG150" i="3"/>
  <c r="AG147" i="3"/>
  <c r="AG153" i="3"/>
  <c r="AG156" i="3"/>
  <c r="I149" i="3"/>
  <c r="I152" i="3"/>
  <c r="I155" i="3"/>
  <c r="I158" i="3"/>
  <c r="I151" i="3"/>
  <c r="I154" i="3"/>
  <c r="I157" i="3"/>
  <c r="I148" i="3"/>
  <c r="I153" i="3"/>
  <c r="I147" i="3"/>
  <c r="I150" i="3"/>
  <c r="I156" i="3"/>
  <c r="F148" i="3"/>
  <c r="F151" i="3"/>
  <c r="F154" i="3"/>
  <c r="F157" i="3"/>
  <c r="F147" i="3"/>
  <c r="F150" i="3"/>
  <c r="F153" i="3"/>
  <c r="F155" i="3"/>
  <c r="F158" i="3"/>
  <c r="F149" i="3"/>
  <c r="F156" i="3"/>
  <c r="F152" i="3"/>
  <c r="AE148" i="3"/>
  <c r="AE151" i="3"/>
  <c r="AE154" i="3"/>
  <c r="AE157" i="3"/>
  <c r="AE149" i="3"/>
  <c r="AE155" i="3"/>
  <c r="AE158" i="3"/>
  <c r="AE147" i="3"/>
  <c r="AE153" i="3"/>
  <c r="AE156" i="3"/>
  <c r="AE152" i="3"/>
  <c r="AE150" i="3"/>
  <c r="P16" i="5"/>
  <c r="P33" i="5" s="1"/>
  <c r="K50" i="3" s="1"/>
  <c r="O20" i="5"/>
  <c r="O17" i="5"/>
  <c r="O18" i="5" s="1"/>
  <c r="O32" i="5" s="1"/>
  <c r="J49" i="3" s="1"/>
  <c r="E106" i="3"/>
  <c r="E114" i="3"/>
  <c r="E107" i="3"/>
  <c r="E115" i="3"/>
  <c r="E108" i="3"/>
  <c r="E116" i="3"/>
  <c r="E109" i="3"/>
  <c r="E110" i="3"/>
  <c r="E112" i="3"/>
  <c r="E113" i="3"/>
  <c r="E105" i="3"/>
  <c r="E111" i="3"/>
  <c r="G112" i="3"/>
  <c r="G113" i="3"/>
  <c r="G106" i="3"/>
  <c r="G114" i="3"/>
  <c r="G107" i="3"/>
  <c r="G115" i="3"/>
  <c r="G108" i="3"/>
  <c r="G116" i="3"/>
  <c r="G110" i="3"/>
  <c r="G111" i="3"/>
  <c r="G109" i="3"/>
  <c r="G105" i="3"/>
  <c r="F113" i="3"/>
  <c r="F106" i="3"/>
  <c r="F114" i="3"/>
  <c r="F107" i="3"/>
  <c r="F115" i="3"/>
  <c r="F108" i="3"/>
  <c r="F116" i="3"/>
  <c r="F109" i="3"/>
  <c r="F111" i="3"/>
  <c r="F112" i="3"/>
  <c r="F110" i="3"/>
  <c r="F105" i="3"/>
  <c r="F61" i="3"/>
  <c r="I19" i="8" s="1"/>
  <c r="F67" i="3"/>
  <c r="F65" i="3"/>
  <c r="I23" i="8" s="1"/>
  <c r="F60" i="3"/>
  <c r="I18" i="8" s="1"/>
  <c r="F62" i="3"/>
  <c r="I20" i="8" s="1"/>
  <c r="F59" i="3"/>
  <c r="F64" i="3"/>
  <c r="I22" i="8" s="1"/>
  <c r="F63" i="3"/>
  <c r="I21" i="8" s="1"/>
  <c r="F70" i="3"/>
  <c r="I28" i="8" s="1"/>
  <c r="F69" i="3"/>
  <c r="I27" i="8" s="1"/>
  <c r="F68" i="3"/>
  <c r="I26" i="8" s="1"/>
  <c r="F66" i="3"/>
  <c r="I24" i="8" s="1"/>
  <c r="G61" i="3"/>
  <c r="J19" i="8" s="1"/>
  <c r="G67" i="3"/>
  <c r="J25" i="8" s="1"/>
  <c r="G69" i="3"/>
  <c r="J27" i="8" s="1"/>
  <c r="G68" i="3"/>
  <c r="J26" i="8" s="1"/>
  <c r="G66" i="3"/>
  <c r="J24" i="8" s="1"/>
  <c r="G60" i="3"/>
  <c r="J18" i="8" s="1"/>
  <c r="G70" i="3"/>
  <c r="J28" i="8" s="1"/>
  <c r="G65" i="3"/>
  <c r="J23" i="8" s="1"/>
  <c r="G59" i="3"/>
  <c r="G64" i="3"/>
  <c r="J22" i="8" s="1"/>
  <c r="G62" i="3"/>
  <c r="J20" i="8" s="1"/>
  <c r="G63" i="3"/>
  <c r="J21" i="8" s="1"/>
  <c r="E67" i="3"/>
  <c r="E61" i="3"/>
  <c r="E70" i="3"/>
  <c r="E60" i="3"/>
  <c r="E64" i="3"/>
  <c r="E69" i="3"/>
  <c r="E65" i="3"/>
  <c r="E63" i="3"/>
  <c r="E68" i="3"/>
  <c r="E59" i="3"/>
  <c r="E62" i="3"/>
  <c r="E66" i="3"/>
  <c r="J17" i="8" l="1"/>
  <c r="G71" i="3"/>
  <c r="H156" i="3"/>
  <c r="E71" i="3"/>
  <c r="I17" i="8"/>
  <c r="I29" i="8" s="1"/>
  <c r="F71" i="3"/>
  <c r="H147" i="3"/>
  <c r="J51" i="3"/>
  <c r="J52" i="3"/>
  <c r="K51" i="3"/>
  <c r="K52" i="3"/>
  <c r="H20" i="8"/>
  <c r="H22" i="8"/>
  <c r="H18" i="8"/>
  <c r="H25" i="8"/>
  <c r="H26" i="8"/>
  <c r="H24" i="8"/>
  <c r="H21" i="8"/>
  <c r="H19" i="8"/>
  <c r="H28" i="8"/>
  <c r="H23" i="8"/>
  <c r="H27" i="8"/>
  <c r="H151" i="3"/>
  <c r="H157" i="3"/>
  <c r="H153" i="3"/>
  <c r="H158" i="3"/>
  <c r="H149" i="3"/>
  <c r="H154" i="3"/>
  <c r="H152" i="3"/>
  <c r="H155" i="3"/>
  <c r="H148" i="3"/>
  <c r="J29" i="8"/>
  <c r="Q16" i="5"/>
  <c r="Q33" i="5" s="1"/>
  <c r="L50" i="3" s="1"/>
  <c r="P20" i="5"/>
  <c r="P17" i="5"/>
  <c r="P18" i="5" s="1"/>
  <c r="P32" i="5" s="1"/>
  <c r="K49" i="3" s="1"/>
  <c r="K149" i="3"/>
  <c r="K152" i="3"/>
  <c r="K155" i="3"/>
  <c r="K158" i="3"/>
  <c r="K148" i="3"/>
  <c r="K147" i="3"/>
  <c r="K156" i="3"/>
  <c r="K151" i="3"/>
  <c r="K150" i="3"/>
  <c r="K153" i="3"/>
  <c r="K154" i="3"/>
  <c r="K157" i="3"/>
  <c r="J149" i="3"/>
  <c r="J152" i="3"/>
  <c r="J155" i="3"/>
  <c r="J158" i="3"/>
  <c r="J148" i="3"/>
  <c r="J151" i="3"/>
  <c r="J156" i="3"/>
  <c r="J153" i="3"/>
  <c r="J150" i="3"/>
  <c r="J147" i="3"/>
  <c r="J154" i="3"/>
  <c r="J157" i="3"/>
  <c r="L150" i="3"/>
  <c r="L153" i="3"/>
  <c r="L156" i="3"/>
  <c r="L149" i="3"/>
  <c r="L152" i="3"/>
  <c r="L155" i="3"/>
  <c r="L158" i="3"/>
  <c r="L147" i="3"/>
  <c r="L148" i="3"/>
  <c r="L151" i="3"/>
  <c r="L154" i="3"/>
  <c r="L157" i="3"/>
  <c r="H17" i="8"/>
  <c r="Q17" i="5"/>
  <c r="Q18" i="5" s="1"/>
  <c r="Q32" i="5" s="1"/>
  <c r="L49" i="3" s="1"/>
  <c r="Q20" i="5"/>
  <c r="R16" i="5"/>
  <c r="L51" i="3" l="1"/>
  <c r="L52" i="3"/>
  <c r="H29" i="8"/>
  <c r="M147" i="3"/>
  <c r="M150" i="3"/>
  <c r="M153" i="3"/>
  <c r="M156" i="3"/>
  <c r="M149" i="3"/>
  <c r="M152" i="3"/>
  <c r="M155" i="3"/>
  <c r="M158" i="3"/>
  <c r="M151" i="3"/>
  <c r="M154" i="3"/>
  <c r="M157" i="3"/>
  <c r="M148" i="3"/>
  <c r="R33" i="5"/>
  <c r="M50" i="3" s="1"/>
  <c r="R17" i="5"/>
  <c r="R18" i="5" s="1"/>
  <c r="R32" i="5" s="1"/>
  <c r="M49" i="3" s="1"/>
  <c r="R20" i="5"/>
  <c r="S16" i="5"/>
  <c r="M51" i="3" l="1"/>
  <c r="M52" i="3"/>
  <c r="N147" i="3"/>
  <c r="N150" i="3"/>
  <c r="N153" i="3"/>
  <c r="N156" i="3"/>
  <c r="N149" i="3"/>
  <c r="N152" i="3"/>
  <c r="N154" i="3"/>
  <c r="N157" i="3"/>
  <c r="N155" i="3"/>
  <c r="N158" i="3"/>
  <c r="N148" i="3"/>
  <c r="N151" i="3"/>
  <c r="S33" i="5"/>
  <c r="N50" i="3" s="1"/>
  <c r="S17" i="5"/>
  <c r="S18" i="5" s="1"/>
  <c r="S32" i="5" s="1"/>
  <c r="N49" i="3" s="1"/>
  <c r="S20" i="5"/>
  <c r="T16" i="5"/>
  <c r="N52" i="3" l="1"/>
  <c r="N51" i="3"/>
  <c r="O147" i="3"/>
  <c r="O150" i="3"/>
  <c r="O153" i="3"/>
  <c r="O156" i="3"/>
  <c r="O154" i="3"/>
  <c r="O157" i="3"/>
  <c r="O152" i="3"/>
  <c r="O151" i="3"/>
  <c r="O149" i="3"/>
  <c r="O155" i="3"/>
  <c r="O158" i="3"/>
  <c r="O148" i="3"/>
  <c r="T33" i="5"/>
  <c r="O50" i="3" s="1"/>
  <c r="T17" i="5"/>
  <c r="T18" i="5" s="1"/>
  <c r="T32" i="5" s="1"/>
  <c r="O49" i="3" s="1"/>
  <c r="T20" i="5"/>
  <c r="U16" i="5"/>
  <c r="O52" i="3" l="1"/>
  <c r="O51" i="3"/>
  <c r="P148" i="3"/>
  <c r="P151" i="3"/>
  <c r="P154" i="3"/>
  <c r="P157" i="3"/>
  <c r="P147" i="3"/>
  <c r="P150" i="3"/>
  <c r="P153" i="3"/>
  <c r="P156" i="3"/>
  <c r="P158" i="3"/>
  <c r="P149" i="3"/>
  <c r="P155" i="3"/>
  <c r="P152" i="3"/>
  <c r="U33" i="5"/>
  <c r="P50" i="3" s="1"/>
  <c r="U17" i="5"/>
  <c r="U18" i="5" s="1"/>
  <c r="U32" i="5" s="1"/>
  <c r="P49" i="3" s="1"/>
  <c r="U20" i="5"/>
  <c r="V16" i="5"/>
  <c r="P51" i="3" l="1"/>
  <c r="P52" i="3"/>
  <c r="Q148" i="3"/>
  <c r="Q151" i="3"/>
  <c r="Q154" i="3"/>
  <c r="Q157" i="3"/>
  <c r="Q147" i="3"/>
  <c r="Q150" i="3"/>
  <c r="Q153" i="3"/>
  <c r="Q156" i="3"/>
  <c r="Q149" i="3"/>
  <c r="Q155" i="3"/>
  <c r="Q158" i="3"/>
  <c r="Q152" i="3"/>
  <c r="V33" i="5"/>
  <c r="Q50" i="3" s="1"/>
  <c r="V17" i="5"/>
  <c r="V18" i="5" s="1"/>
  <c r="V32" i="5" s="1"/>
  <c r="Q49" i="3" s="1"/>
  <c r="V20" i="5"/>
  <c r="W16" i="5"/>
  <c r="Q52" i="3" l="1"/>
  <c r="Q51" i="3"/>
  <c r="R148" i="3"/>
  <c r="R151" i="3"/>
  <c r="R154" i="3"/>
  <c r="R157" i="3"/>
  <c r="R147" i="3"/>
  <c r="R150" i="3"/>
  <c r="R153" i="3"/>
  <c r="R149" i="3"/>
  <c r="R156" i="3"/>
  <c r="R158" i="3"/>
  <c r="R152" i="3"/>
  <c r="R155" i="3"/>
  <c r="W33" i="5"/>
  <c r="R50" i="3" s="1"/>
  <c r="W17" i="5"/>
  <c r="W18" i="5" s="1"/>
  <c r="W32" i="5" s="1"/>
  <c r="R49" i="3" s="1"/>
  <c r="W20" i="5"/>
  <c r="X16" i="5"/>
  <c r="R52" i="3" l="1"/>
  <c r="R51" i="3"/>
  <c r="S148" i="3"/>
  <c r="S151" i="3"/>
  <c r="S154" i="3"/>
  <c r="S157" i="3"/>
  <c r="S150" i="3"/>
  <c r="S149" i="3"/>
  <c r="S147" i="3"/>
  <c r="S152" i="3"/>
  <c r="S156" i="3"/>
  <c r="S153" i="3"/>
  <c r="S155" i="3"/>
  <c r="S158" i="3"/>
  <c r="X33" i="5"/>
  <c r="S50" i="3" s="1"/>
  <c r="X17" i="5"/>
  <c r="X18" i="5" s="1"/>
  <c r="X32" i="5" s="1"/>
  <c r="S49" i="3" s="1"/>
  <c r="X20" i="5"/>
  <c r="Y16" i="5"/>
  <c r="S52" i="3" l="1"/>
  <c r="S51" i="3"/>
  <c r="T149" i="3"/>
  <c r="T152" i="3"/>
  <c r="T155" i="3"/>
  <c r="T158" i="3"/>
  <c r="T148" i="3"/>
  <c r="T151" i="3"/>
  <c r="T154" i="3"/>
  <c r="T157" i="3"/>
  <c r="T153" i="3"/>
  <c r="T150" i="3"/>
  <c r="T156" i="3"/>
  <c r="T147" i="3"/>
  <c r="Y33" i="5"/>
  <c r="T50" i="3" s="1"/>
  <c r="Y17" i="5"/>
  <c r="Y18" i="5" s="1"/>
  <c r="Y32" i="5" s="1"/>
  <c r="T49" i="3" s="1"/>
  <c r="Y20" i="5"/>
  <c r="Z16" i="5"/>
  <c r="T52" i="3" l="1"/>
  <c r="T51" i="3"/>
  <c r="U149" i="3"/>
  <c r="U152" i="3"/>
  <c r="U155" i="3"/>
  <c r="U158" i="3"/>
  <c r="U148" i="3"/>
  <c r="U151" i="3"/>
  <c r="U154" i="3"/>
  <c r="U157" i="3"/>
  <c r="U153" i="3"/>
  <c r="U156" i="3"/>
  <c r="U147" i="3"/>
  <c r="U150" i="3"/>
  <c r="Z33" i="5"/>
  <c r="U50" i="3" s="1"/>
  <c r="Z17" i="5"/>
  <c r="Z18" i="5" s="1"/>
  <c r="Z32" i="5" s="1"/>
  <c r="U49" i="3" s="1"/>
  <c r="Z20" i="5"/>
  <c r="AA16" i="5"/>
  <c r="U52" i="3" l="1"/>
  <c r="U51" i="3"/>
  <c r="V149" i="3"/>
  <c r="V152" i="3"/>
  <c r="V155" i="3"/>
  <c r="V158" i="3"/>
  <c r="V148" i="3"/>
  <c r="V151" i="3"/>
  <c r="V156" i="3"/>
  <c r="V153" i="3"/>
  <c r="V154" i="3"/>
  <c r="V157" i="3"/>
  <c r="V150" i="3"/>
  <c r="V147" i="3"/>
  <c r="AA33" i="5"/>
  <c r="V50" i="3" s="1"/>
  <c r="AA17" i="5"/>
  <c r="AA18" i="5" s="1"/>
  <c r="AA32" i="5" s="1"/>
  <c r="V49" i="3" s="1"/>
  <c r="AA20" i="5"/>
  <c r="AB16" i="5"/>
  <c r="V52" i="3" l="1"/>
  <c r="V51" i="3"/>
  <c r="W149" i="3"/>
  <c r="W152" i="3"/>
  <c r="W155" i="3"/>
  <c r="W158" i="3"/>
  <c r="W147" i="3"/>
  <c r="W156" i="3"/>
  <c r="W153" i="3"/>
  <c r="W157" i="3"/>
  <c r="W154" i="3"/>
  <c r="W148" i="3"/>
  <c r="W150" i="3"/>
  <c r="W151" i="3"/>
  <c r="AB33" i="5"/>
  <c r="W50" i="3" s="1"/>
  <c r="AB17" i="5"/>
  <c r="AB18" i="5" s="1"/>
  <c r="AB32" i="5" s="1"/>
  <c r="W49" i="3" s="1"/>
  <c r="AB20" i="5"/>
  <c r="AC16" i="5"/>
  <c r="AM19" i="5" l="1"/>
  <c r="AM33" i="5" s="1"/>
  <c r="AK19" i="5"/>
  <c r="AK33" i="5" s="1"/>
  <c r="AL19" i="5"/>
  <c r="AL33" i="5" s="1"/>
  <c r="AG19" i="5"/>
  <c r="AG33" i="5" s="1"/>
  <c r="AH19" i="5"/>
  <c r="AH33" i="5" s="1"/>
  <c r="AI19" i="5"/>
  <c r="AI33" i="5" s="1"/>
  <c r="AJ19" i="5"/>
  <c r="AJ33" i="5" s="1"/>
  <c r="W52" i="3"/>
  <c r="W51" i="3"/>
  <c r="X150" i="3"/>
  <c r="X153" i="3"/>
  <c r="X156" i="3"/>
  <c r="X149" i="3"/>
  <c r="X152" i="3"/>
  <c r="X155" i="3"/>
  <c r="X158" i="3"/>
  <c r="X147" i="3"/>
  <c r="X148" i="3"/>
  <c r="X154" i="3"/>
  <c r="X157" i="3"/>
  <c r="X151" i="3"/>
  <c r="AC33" i="5"/>
  <c r="X50" i="3" s="1"/>
  <c r="AC17" i="5"/>
  <c r="AC18" i="5" s="1"/>
  <c r="AC32" i="5" s="1"/>
  <c r="X49" i="3" s="1"/>
  <c r="AC20" i="5"/>
  <c r="AD16" i="5"/>
  <c r="AD19" i="5" s="1"/>
  <c r="C155" i="3" l="1"/>
  <c r="J169" i="3" s="1"/>
  <c r="C156" i="3"/>
  <c r="J170" i="3" s="1"/>
  <c r="C150" i="3"/>
  <c r="J164" i="3" s="1"/>
  <c r="C157" i="3"/>
  <c r="J171" i="3" s="1"/>
  <c r="C154" i="3"/>
  <c r="J168" i="3" s="1"/>
  <c r="C152" i="3"/>
  <c r="J166" i="3" s="1"/>
  <c r="C149" i="3"/>
  <c r="J163" i="3" s="1"/>
  <c r="C151" i="3"/>
  <c r="J165" i="3" s="1"/>
  <c r="C158" i="3"/>
  <c r="J172" i="3" s="1"/>
  <c r="C153" i="3"/>
  <c r="J167" i="3" s="1"/>
  <c r="C148" i="3"/>
  <c r="J162" i="3" s="1"/>
  <c r="C147" i="3"/>
  <c r="J161" i="3" s="1"/>
  <c r="X52" i="3"/>
  <c r="X51" i="3"/>
  <c r="Y147" i="3"/>
  <c r="Y150" i="3"/>
  <c r="Y153" i="3"/>
  <c r="Y156" i="3"/>
  <c r="Y149" i="3"/>
  <c r="Y152" i="3"/>
  <c r="Y155" i="3"/>
  <c r="Y158" i="3"/>
  <c r="Y151" i="3"/>
  <c r="Y154" i="3"/>
  <c r="Y157" i="3"/>
  <c r="Y148" i="3"/>
  <c r="AD33" i="5"/>
  <c r="Y50" i="3" s="1"/>
  <c r="AD17" i="5"/>
  <c r="AD18" i="5" s="1"/>
  <c r="AD32" i="5" s="1"/>
  <c r="Y49" i="3" s="1"/>
  <c r="AD20" i="5"/>
  <c r="AE16" i="5"/>
  <c r="AE19" i="5" s="1"/>
  <c r="Y52" i="3" l="1"/>
  <c r="Y51" i="3"/>
  <c r="Z147" i="3"/>
  <c r="Z150" i="3"/>
  <c r="Z153" i="3"/>
  <c r="Z156" i="3"/>
  <c r="Z149" i="3"/>
  <c r="Z152" i="3"/>
  <c r="Z151" i="3"/>
  <c r="Z157" i="3"/>
  <c r="Z148" i="3"/>
  <c r="Z154" i="3"/>
  <c r="Z155" i="3"/>
  <c r="Z158" i="3"/>
  <c r="AE33" i="5"/>
  <c r="Z50" i="3" s="1"/>
  <c r="AE17" i="5"/>
  <c r="AE18" i="5" s="1"/>
  <c r="AE32" i="5" s="1"/>
  <c r="Z49" i="3" s="1"/>
  <c r="AE20" i="5"/>
  <c r="AF16" i="5"/>
  <c r="AF19" i="5" l="1"/>
  <c r="AB50" i="3"/>
  <c r="AG50" i="3"/>
  <c r="AF50" i="3"/>
  <c r="AC50" i="3"/>
  <c r="AD50" i="3"/>
  <c r="AE50" i="3"/>
  <c r="AH50" i="3"/>
  <c r="AF49" i="3"/>
  <c r="AE49" i="3"/>
  <c r="AB49" i="3"/>
  <c r="AH49" i="3"/>
  <c r="AC49" i="3"/>
  <c r="AG49" i="3"/>
  <c r="AD49" i="3"/>
  <c r="Z51" i="3"/>
  <c r="Z119" i="3" s="1"/>
  <c r="Z52" i="3"/>
  <c r="AA147" i="3"/>
  <c r="AA150" i="3"/>
  <c r="AA153" i="3"/>
  <c r="AA156" i="3"/>
  <c r="AA152" i="3"/>
  <c r="AA151" i="3"/>
  <c r="AA154" i="3"/>
  <c r="AA157" i="3"/>
  <c r="AA148" i="3"/>
  <c r="AA158" i="3"/>
  <c r="AA155" i="3"/>
  <c r="AA149" i="3"/>
  <c r="AF33" i="5"/>
  <c r="AA50" i="3" s="1"/>
  <c r="AF20" i="5"/>
  <c r="AF17" i="5"/>
  <c r="AH51" i="3" l="1"/>
  <c r="AH52" i="3"/>
  <c r="AE52" i="3"/>
  <c r="AE51" i="3"/>
  <c r="AF51" i="3"/>
  <c r="AF52" i="3"/>
  <c r="AD51" i="3"/>
  <c r="AD52" i="3"/>
  <c r="AG51" i="3"/>
  <c r="AG52" i="3"/>
  <c r="AC51" i="3"/>
  <c r="AC52" i="3"/>
  <c r="AB52" i="3"/>
  <c r="AB51" i="3"/>
  <c r="AA51" i="3"/>
  <c r="AA125" i="3" s="1"/>
  <c r="AA52" i="3"/>
  <c r="AA135" i="3" s="1"/>
  <c r="Z107" i="3"/>
  <c r="X106" i="3"/>
  <c r="X113" i="3"/>
  <c r="X105" i="3"/>
  <c r="X109" i="3"/>
  <c r="X107" i="3"/>
  <c r="X112" i="3"/>
  <c r="X114" i="3"/>
  <c r="X111" i="3"/>
  <c r="X108" i="3"/>
  <c r="X110" i="3"/>
  <c r="X116" i="3"/>
  <c r="X115" i="3"/>
  <c r="Z109" i="3"/>
  <c r="S115" i="3"/>
  <c r="S108" i="3"/>
  <c r="S106" i="3"/>
  <c r="S109" i="3"/>
  <c r="S105" i="3"/>
  <c r="S110" i="3"/>
  <c r="S107" i="3"/>
  <c r="S111" i="3"/>
  <c r="S116" i="3"/>
  <c r="S114" i="3"/>
  <c r="S113" i="3"/>
  <c r="S112" i="3"/>
  <c r="T107" i="3"/>
  <c r="T114" i="3"/>
  <c r="T109" i="3"/>
  <c r="T115" i="3"/>
  <c r="T105" i="3"/>
  <c r="T116" i="3"/>
  <c r="T108" i="3"/>
  <c r="T111" i="3"/>
  <c r="T106" i="3"/>
  <c r="T113" i="3"/>
  <c r="T112" i="3"/>
  <c r="T110" i="3"/>
  <c r="Z112" i="3"/>
  <c r="L114" i="3"/>
  <c r="L109" i="3"/>
  <c r="L110" i="3"/>
  <c r="L108" i="3"/>
  <c r="L116" i="3"/>
  <c r="L111" i="3"/>
  <c r="L113" i="3"/>
  <c r="L115" i="3"/>
  <c r="L107" i="3"/>
  <c r="L106" i="3"/>
  <c r="L105" i="3"/>
  <c r="L112" i="3"/>
  <c r="Z140" i="3"/>
  <c r="N113" i="3"/>
  <c r="N106" i="3"/>
  <c r="N111" i="3"/>
  <c r="N116" i="3"/>
  <c r="N105" i="3"/>
  <c r="N114" i="3"/>
  <c r="N108" i="3"/>
  <c r="N115" i="3"/>
  <c r="N109" i="3"/>
  <c r="N112" i="3"/>
  <c r="N107" i="3"/>
  <c r="N110" i="3"/>
  <c r="P106" i="3"/>
  <c r="P115" i="3"/>
  <c r="P105" i="3"/>
  <c r="P110" i="3"/>
  <c r="P111" i="3"/>
  <c r="P107" i="3"/>
  <c r="P109" i="3"/>
  <c r="P113" i="3"/>
  <c r="P116" i="3"/>
  <c r="P108" i="3"/>
  <c r="P114" i="3"/>
  <c r="P112" i="3"/>
  <c r="I105" i="3"/>
  <c r="Z115" i="3"/>
  <c r="Z110" i="3"/>
  <c r="Z111" i="3"/>
  <c r="Z108" i="3"/>
  <c r="Z116" i="3"/>
  <c r="Y112" i="3"/>
  <c r="Y106" i="3"/>
  <c r="Y111" i="3"/>
  <c r="Y115" i="3"/>
  <c r="Y107" i="3"/>
  <c r="Y109" i="3"/>
  <c r="Y113" i="3"/>
  <c r="Y105" i="3"/>
  <c r="Y110" i="3"/>
  <c r="Y116" i="3"/>
  <c r="Y108" i="3"/>
  <c r="Y114" i="3"/>
  <c r="V111" i="3"/>
  <c r="V107" i="3"/>
  <c r="V110" i="3"/>
  <c r="V115" i="3"/>
  <c r="V106" i="3"/>
  <c r="V105" i="3"/>
  <c r="V112" i="3"/>
  <c r="V116" i="3"/>
  <c r="V108" i="3"/>
  <c r="V114" i="3"/>
  <c r="V113" i="3"/>
  <c r="V109" i="3"/>
  <c r="W115" i="3"/>
  <c r="W111" i="3"/>
  <c r="W106" i="3"/>
  <c r="W112" i="3"/>
  <c r="W105" i="3"/>
  <c r="W114" i="3"/>
  <c r="W113" i="3"/>
  <c r="W109" i="3"/>
  <c r="W116" i="3"/>
  <c r="W110" i="3"/>
  <c r="W108" i="3"/>
  <c r="W107" i="3"/>
  <c r="M105" i="3"/>
  <c r="M116" i="3"/>
  <c r="M107" i="3"/>
  <c r="M108" i="3"/>
  <c r="M110" i="3"/>
  <c r="M111" i="3"/>
  <c r="M109" i="3"/>
  <c r="M113" i="3"/>
  <c r="M114" i="3"/>
  <c r="M115" i="3"/>
  <c r="M106" i="3"/>
  <c r="M112" i="3"/>
  <c r="M68" i="3"/>
  <c r="P26" i="8" s="1"/>
  <c r="U109" i="3"/>
  <c r="U108" i="3"/>
  <c r="U113" i="3"/>
  <c r="U105" i="3"/>
  <c r="U116" i="3"/>
  <c r="U115" i="3"/>
  <c r="U107" i="3"/>
  <c r="U114" i="3"/>
  <c r="U110" i="3"/>
  <c r="U111" i="3"/>
  <c r="U112" i="3"/>
  <c r="U106" i="3"/>
  <c r="H108" i="3"/>
  <c r="I106" i="3"/>
  <c r="K110" i="3"/>
  <c r="K106" i="3"/>
  <c r="K111" i="3"/>
  <c r="K112" i="3"/>
  <c r="K114" i="3"/>
  <c r="K113" i="3"/>
  <c r="K107" i="3"/>
  <c r="K109" i="3"/>
  <c r="K105" i="3"/>
  <c r="K115" i="3"/>
  <c r="K108" i="3"/>
  <c r="K116" i="3"/>
  <c r="Z113" i="3"/>
  <c r="Q106" i="3"/>
  <c r="Q114" i="3"/>
  <c r="Q107" i="3"/>
  <c r="Q116" i="3"/>
  <c r="Q108" i="3"/>
  <c r="Q112" i="3"/>
  <c r="Q110" i="3"/>
  <c r="Q115" i="3"/>
  <c r="Q105" i="3"/>
  <c r="Q113" i="3"/>
  <c r="Q109" i="3"/>
  <c r="Q111" i="3"/>
  <c r="Z137" i="3"/>
  <c r="Z106" i="3"/>
  <c r="O115" i="3"/>
  <c r="O106" i="3"/>
  <c r="O112" i="3"/>
  <c r="O111" i="3"/>
  <c r="O113" i="3"/>
  <c r="O116" i="3"/>
  <c r="O107" i="3"/>
  <c r="O110" i="3"/>
  <c r="O114" i="3"/>
  <c r="O109" i="3"/>
  <c r="O108" i="3"/>
  <c r="O105" i="3"/>
  <c r="Z114" i="3"/>
  <c r="R112" i="3"/>
  <c r="R113" i="3"/>
  <c r="R107" i="3"/>
  <c r="R105" i="3"/>
  <c r="R115" i="3"/>
  <c r="R106" i="3"/>
  <c r="R110" i="3"/>
  <c r="R109" i="3"/>
  <c r="R116" i="3"/>
  <c r="R114" i="3"/>
  <c r="R111" i="3"/>
  <c r="R108" i="3"/>
  <c r="Z105" i="3"/>
  <c r="Z135" i="3"/>
  <c r="Z138" i="3"/>
  <c r="Z133" i="3"/>
  <c r="Z63" i="3"/>
  <c r="AC21" i="8" s="1"/>
  <c r="Z122" i="3"/>
  <c r="Z66" i="3"/>
  <c r="AC24" i="8" s="1"/>
  <c r="Z129" i="3"/>
  <c r="Z65" i="3"/>
  <c r="AC23" i="8" s="1"/>
  <c r="Z123" i="3"/>
  <c r="Z69" i="3"/>
  <c r="AC27" i="8" s="1"/>
  <c r="Z59" i="3"/>
  <c r="Z121" i="3"/>
  <c r="Z67" i="3"/>
  <c r="AC25" i="8" s="1"/>
  <c r="Z130" i="3"/>
  <c r="Z60" i="3"/>
  <c r="AC18" i="8" s="1"/>
  <c r="Z128" i="3"/>
  <c r="Z120" i="3"/>
  <c r="Z127" i="3"/>
  <c r="Z126" i="3"/>
  <c r="Z68" i="3"/>
  <c r="AC26" i="8" s="1"/>
  <c r="Z139" i="3"/>
  <c r="Z136" i="3"/>
  <c r="Z62" i="3"/>
  <c r="AC20" i="8" s="1"/>
  <c r="Z125" i="3"/>
  <c r="Z144" i="3"/>
  <c r="Z70" i="3"/>
  <c r="AC28" i="8" s="1"/>
  <c r="Z124" i="3"/>
  <c r="Z61" i="3"/>
  <c r="AC19" i="8" s="1"/>
  <c r="Z64" i="3"/>
  <c r="AC22" i="8" s="1"/>
  <c r="AB148" i="3"/>
  <c r="AB151" i="3"/>
  <c r="AB154" i="3"/>
  <c r="AB157" i="3"/>
  <c r="AB147" i="3"/>
  <c r="AB150" i="3"/>
  <c r="AB153" i="3"/>
  <c r="AB156" i="3"/>
  <c r="AB152" i="3"/>
  <c r="AB155" i="3"/>
  <c r="AB158" i="3"/>
  <c r="AB149" i="3"/>
  <c r="AB107" i="3"/>
  <c r="AB115" i="3"/>
  <c r="AB108" i="3"/>
  <c r="AB109" i="3"/>
  <c r="AB110" i="3"/>
  <c r="AB111" i="3"/>
  <c r="AB113" i="3"/>
  <c r="AB114" i="3"/>
  <c r="AB116" i="3"/>
  <c r="AB105" i="3"/>
  <c r="AB112" i="3"/>
  <c r="AB106" i="3"/>
  <c r="AD113" i="3"/>
  <c r="AD106" i="3"/>
  <c r="AD114" i="3"/>
  <c r="AD107" i="3"/>
  <c r="AD115" i="3"/>
  <c r="AD108" i="3"/>
  <c r="AD109" i="3"/>
  <c r="AD111" i="3"/>
  <c r="AD110" i="3"/>
  <c r="AD116" i="3"/>
  <c r="AD105" i="3"/>
  <c r="AD112" i="3"/>
  <c r="AH109" i="3"/>
  <c r="AH110" i="3"/>
  <c r="AH111" i="3"/>
  <c r="AH112" i="3"/>
  <c r="AH113" i="3"/>
  <c r="AH107" i="3"/>
  <c r="AH115" i="3"/>
  <c r="AH106" i="3"/>
  <c r="AH114" i="3"/>
  <c r="AH116" i="3"/>
  <c r="AH105" i="3"/>
  <c r="AH108" i="3"/>
  <c r="AE112" i="3"/>
  <c r="AE113" i="3"/>
  <c r="AE106" i="3"/>
  <c r="AE114" i="3"/>
  <c r="AE107" i="3"/>
  <c r="AE115" i="3"/>
  <c r="AE108" i="3"/>
  <c r="AE110" i="3"/>
  <c r="AE109" i="3"/>
  <c r="AE111" i="3"/>
  <c r="AE116" i="3"/>
  <c r="AE105" i="3"/>
  <c r="AG110" i="3"/>
  <c r="AG111" i="3"/>
  <c r="AG112" i="3"/>
  <c r="AG113" i="3"/>
  <c r="AG106" i="3"/>
  <c r="AG114" i="3"/>
  <c r="AG108" i="3"/>
  <c r="AG107" i="3"/>
  <c r="AG115" i="3"/>
  <c r="AG116" i="3"/>
  <c r="AG105" i="3"/>
  <c r="AG109" i="3"/>
  <c r="AF111" i="3"/>
  <c r="AF112" i="3"/>
  <c r="AF113" i="3"/>
  <c r="AF106" i="3"/>
  <c r="AF114" i="3"/>
  <c r="AF107" i="3"/>
  <c r="AF115" i="3"/>
  <c r="AF109" i="3"/>
  <c r="AF105" i="3"/>
  <c r="AF108" i="3"/>
  <c r="AF110" i="3"/>
  <c r="AF116" i="3"/>
  <c r="AF18" i="5"/>
  <c r="AF32" i="5" s="1"/>
  <c r="AA49" i="3" s="1"/>
  <c r="AC17" i="8" l="1"/>
  <c r="Z71" i="3"/>
  <c r="P63" i="3"/>
  <c r="S21" i="8" s="1"/>
  <c r="O65" i="3"/>
  <c r="R23" i="8" s="1"/>
  <c r="U63" i="3"/>
  <c r="X21" i="8" s="1"/>
  <c r="W67" i="3"/>
  <c r="Z25" i="8" s="1"/>
  <c r="K66" i="3"/>
  <c r="N24" i="8" s="1"/>
  <c r="Y67" i="3"/>
  <c r="AB25" i="8" s="1"/>
  <c r="W68" i="3"/>
  <c r="Z26" i="8" s="1"/>
  <c r="I116" i="3"/>
  <c r="T68" i="3"/>
  <c r="W26" i="8" s="1"/>
  <c r="V61" i="3"/>
  <c r="Y19" i="8" s="1"/>
  <c r="L63" i="3"/>
  <c r="O21" i="8" s="1"/>
  <c r="U59" i="3"/>
  <c r="Q62" i="3"/>
  <c r="T20" i="8" s="1"/>
  <c r="O59" i="3"/>
  <c r="U70" i="3"/>
  <c r="X28" i="8" s="1"/>
  <c r="O62" i="3"/>
  <c r="R20" i="8" s="1"/>
  <c r="L60" i="3"/>
  <c r="O18" i="8" s="1"/>
  <c r="W69" i="3"/>
  <c r="Z27" i="8" s="1"/>
  <c r="X70" i="3"/>
  <c r="AA28" i="8" s="1"/>
  <c r="U67" i="3"/>
  <c r="X25" i="8" s="1"/>
  <c r="N66" i="3"/>
  <c r="Q24" i="8" s="1"/>
  <c r="T69" i="3"/>
  <c r="W27" i="8" s="1"/>
  <c r="AA140" i="3"/>
  <c r="U60" i="3"/>
  <c r="X18" i="8" s="1"/>
  <c r="K67" i="3"/>
  <c r="N25" i="8" s="1"/>
  <c r="M67" i="3"/>
  <c r="P25" i="8" s="1"/>
  <c r="L66" i="3"/>
  <c r="O24" i="8" s="1"/>
  <c r="W63" i="3"/>
  <c r="Z21" i="8" s="1"/>
  <c r="AC29" i="8"/>
  <c r="O67" i="3"/>
  <c r="R25" i="8" s="1"/>
  <c r="U68" i="3"/>
  <c r="X26" i="8" s="1"/>
  <c r="R66" i="3"/>
  <c r="U24" i="8" s="1"/>
  <c r="O61" i="3"/>
  <c r="R19" i="8" s="1"/>
  <c r="O60" i="3"/>
  <c r="R18" i="8" s="1"/>
  <c r="O64" i="3"/>
  <c r="R22" i="8" s="1"/>
  <c r="U69" i="3"/>
  <c r="X27" i="8" s="1"/>
  <c r="T62" i="3"/>
  <c r="W20" i="8" s="1"/>
  <c r="T59" i="3"/>
  <c r="P67" i="3"/>
  <c r="S25" i="8" s="1"/>
  <c r="S67" i="3"/>
  <c r="V25" i="8" s="1"/>
  <c r="P59" i="3"/>
  <c r="L69" i="3"/>
  <c r="O27" i="8" s="1"/>
  <c r="R69" i="3"/>
  <c r="U27" i="8" s="1"/>
  <c r="L70" i="3"/>
  <c r="O28" i="8" s="1"/>
  <c r="W65" i="3"/>
  <c r="Z23" i="8" s="1"/>
  <c r="P62" i="3"/>
  <c r="S20" i="8" s="1"/>
  <c r="T65" i="3"/>
  <c r="W23" i="8" s="1"/>
  <c r="AA141" i="3"/>
  <c r="N68" i="3"/>
  <c r="Q26" i="8" s="1"/>
  <c r="O63" i="3"/>
  <c r="R21" i="8" s="1"/>
  <c r="O70" i="3"/>
  <c r="R28" i="8" s="1"/>
  <c r="U65" i="3"/>
  <c r="X23" i="8" s="1"/>
  <c r="V63" i="3"/>
  <c r="Y21" i="8" s="1"/>
  <c r="W70" i="3"/>
  <c r="Z28" i="8" s="1"/>
  <c r="P61" i="3"/>
  <c r="S19" i="8" s="1"/>
  <c r="P69" i="3"/>
  <c r="S27" i="8" s="1"/>
  <c r="L59" i="3"/>
  <c r="Q59" i="3"/>
  <c r="R63" i="3"/>
  <c r="U21" i="8" s="1"/>
  <c r="V60" i="3"/>
  <c r="Y18" i="8" s="1"/>
  <c r="R65" i="3"/>
  <c r="U23" i="8" s="1"/>
  <c r="R70" i="3"/>
  <c r="U28" i="8" s="1"/>
  <c r="U66" i="3"/>
  <c r="X24" i="8" s="1"/>
  <c r="H113" i="3"/>
  <c r="V64" i="3"/>
  <c r="Y22" i="8" s="1"/>
  <c r="N62" i="3"/>
  <c r="Q20" i="8" s="1"/>
  <c r="X61" i="3"/>
  <c r="AA19" i="8" s="1"/>
  <c r="N59" i="3"/>
  <c r="R68" i="3"/>
  <c r="U26" i="8" s="1"/>
  <c r="S62" i="3"/>
  <c r="V20" i="8" s="1"/>
  <c r="U64" i="3"/>
  <c r="X22" i="8" s="1"/>
  <c r="H116" i="3"/>
  <c r="N67" i="3"/>
  <c r="Q25" i="8" s="1"/>
  <c r="S60" i="3"/>
  <c r="V18" i="8" s="1"/>
  <c r="N61" i="3"/>
  <c r="Q19" i="8" s="1"/>
  <c r="O69" i="3"/>
  <c r="R27" i="8" s="1"/>
  <c r="U62" i="3"/>
  <c r="X20" i="8" s="1"/>
  <c r="H114" i="3"/>
  <c r="I111" i="3"/>
  <c r="N60" i="3"/>
  <c r="Q18" i="8" s="1"/>
  <c r="T63" i="3"/>
  <c r="W21" i="8" s="1"/>
  <c r="X67" i="3"/>
  <c r="AA25" i="8" s="1"/>
  <c r="W66" i="3"/>
  <c r="Z24" i="8" s="1"/>
  <c r="H109" i="3"/>
  <c r="H107" i="3"/>
  <c r="T60" i="3"/>
  <c r="W18" i="8" s="1"/>
  <c r="X65" i="3"/>
  <c r="AA23" i="8" s="1"/>
  <c r="O66" i="3"/>
  <c r="R24" i="8" s="1"/>
  <c r="Q64" i="3"/>
  <c r="T22" i="8" s="1"/>
  <c r="K65" i="3"/>
  <c r="N23" i="8" s="1"/>
  <c r="U61" i="3"/>
  <c r="X19" i="8" s="1"/>
  <c r="H112" i="3"/>
  <c r="P70" i="3"/>
  <c r="S28" i="8" s="1"/>
  <c r="T64" i="3"/>
  <c r="W22" i="8" s="1"/>
  <c r="X62" i="3"/>
  <c r="AA20" i="8" s="1"/>
  <c r="AA134" i="3"/>
  <c r="AA139" i="3"/>
  <c r="P65" i="3"/>
  <c r="S23" i="8" s="1"/>
  <c r="W64" i="3"/>
  <c r="Z22" i="8" s="1"/>
  <c r="P68" i="3"/>
  <c r="S26" i="8" s="1"/>
  <c r="O68" i="3"/>
  <c r="R26" i="8" s="1"/>
  <c r="K69" i="3"/>
  <c r="N27" i="8" s="1"/>
  <c r="P60" i="3"/>
  <c r="S18" i="8" s="1"/>
  <c r="P64" i="3"/>
  <c r="S22" i="8" s="1"/>
  <c r="L67" i="3"/>
  <c r="O25" i="8" s="1"/>
  <c r="Z142" i="3"/>
  <c r="Z143" i="3"/>
  <c r="Z141" i="3"/>
  <c r="Z134" i="3"/>
  <c r="Q68" i="3"/>
  <c r="T26" i="8" s="1"/>
  <c r="K62" i="3"/>
  <c r="N20" i="8" s="1"/>
  <c r="Q66" i="3"/>
  <c r="T24" i="8" s="1"/>
  <c r="K59" i="3"/>
  <c r="M65" i="3"/>
  <c r="P23" i="8" s="1"/>
  <c r="I113" i="3"/>
  <c r="R143" i="3"/>
  <c r="R135" i="3"/>
  <c r="R142" i="3"/>
  <c r="R141" i="3"/>
  <c r="R140" i="3"/>
  <c r="R133" i="3"/>
  <c r="R134" i="3"/>
  <c r="R144" i="3"/>
  <c r="R136" i="3"/>
  <c r="R139" i="3"/>
  <c r="R138" i="3"/>
  <c r="R137" i="3"/>
  <c r="S66" i="3"/>
  <c r="V24" i="8" s="1"/>
  <c r="AA142" i="3"/>
  <c r="R59" i="3"/>
  <c r="Q69" i="3"/>
  <c r="T27" i="8" s="1"/>
  <c r="M59" i="3"/>
  <c r="N63" i="3"/>
  <c r="Q21" i="8" s="1"/>
  <c r="R61" i="3"/>
  <c r="U19" i="8" s="1"/>
  <c r="R121" i="3"/>
  <c r="R120" i="3"/>
  <c r="R124" i="3"/>
  <c r="R123" i="3"/>
  <c r="R119" i="3"/>
  <c r="R122" i="3"/>
  <c r="R130" i="3"/>
  <c r="R125" i="3"/>
  <c r="R127" i="3"/>
  <c r="R129" i="3"/>
  <c r="R128" i="3"/>
  <c r="R126" i="3"/>
  <c r="S65" i="3"/>
  <c r="V23" i="8" s="1"/>
  <c r="Q133" i="3"/>
  <c r="Q144" i="3"/>
  <c r="Q135" i="3"/>
  <c r="Q138" i="3"/>
  <c r="Q134" i="3"/>
  <c r="Q140" i="3"/>
  <c r="Q143" i="3"/>
  <c r="Q142" i="3"/>
  <c r="Q136" i="3"/>
  <c r="Q139" i="3"/>
  <c r="Q137" i="3"/>
  <c r="Q141" i="3"/>
  <c r="M63" i="3"/>
  <c r="P21" i="8" s="1"/>
  <c r="M61" i="3"/>
  <c r="P19" i="8" s="1"/>
  <c r="I110" i="3"/>
  <c r="S70" i="3"/>
  <c r="V28" i="8" s="1"/>
  <c r="AA138" i="3"/>
  <c r="R62" i="3"/>
  <c r="U20" i="8" s="1"/>
  <c r="S143" i="3"/>
  <c r="S144" i="3"/>
  <c r="S139" i="3"/>
  <c r="S141" i="3"/>
  <c r="S135" i="3"/>
  <c r="S134" i="3"/>
  <c r="S138" i="3"/>
  <c r="S142" i="3"/>
  <c r="S136" i="3"/>
  <c r="S133" i="3"/>
  <c r="S140" i="3"/>
  <c r="S137" i="3"/>
  <c r="Q61" i="3"/>
  <c r="T19" i="8" s="1"/>
  <c r="J143" i="3"/>
  <c r="J136" i="3"/>
  <c r="J144" i="3"/>
  <c r="J138" i="3"/>
  <c r="J133" i="3"/>
  <c r="J140" i="3"/>
  <c r="J134" i="3"/>
  <c r="J139" i="3"/>
  <c r="J142" i="3"/>
  <c r="J137" i="3"/>
  <c r="J135" i="3"/>
  <c r="J141" i="3"/>
  <c r="V121" i="3"/>
  <c r="V129" i="3"/>
  <c r="V126" i="3"/>
  <c r="V127" i="3"/>
  <c r="V123" i="3"/>
  <c r="V120" i="3"/>
  <c r="V128" i="3"/>
  <c r="V124" i="3"/>
  <c r="V122" i="3"/>
  <c r="V125" i="3"/>
  <c r="V130" i="3"/>
  <c r="V119" i="3"/>
  <c r="M66" i="3"/>
  <c r="P24" i="8" s="1"/>
  <c r="H111" i="3"/>
  <c r="H106" i="3"/>
  <c r="V67" i="3"/>
  <c r="Y25" i="8" s="1"/>
  <c r="I109" i="3"/>
  <c r="Y129" i="3"/>
  <c r="Y121" i="3"/>
  <c r="Y128" i="3"/>
  <c r="Y120" i="3"/>
  <c r="Y130" i="3"/>
  <c r="Y126" i="3"/>
  <c r="Y125" i="3"/>
  <c r="Y122" i="3"/>
  <c r="Y124" i="3"/>
  <c r="Y123" i="3"/>
  <c r="Y127" i="3"/>
  <c r="Y119" i="3"/>
  <c r="X130" i="3"/>
  <c r="X121" i="3"/>
  <c r="X128" i="3"/>
  <c r="X127" i="3"/>
  <c r="X129" i="3"/>
  <c r="X119" i="3"/>
  <c r="X120" i="3"/>
  <c r="X126" i="3"/>
  <c r="X123" i="3"/>
  <c r="X122" i="3"/>
  <c r="X125" i="3"/>
  <c r="X124" i="3"/>
  <c r="S63" i="3"/>
  <c r="V21" i="8" s="1"/>
  <c r="X68" i="3"/>
  <c r="AA26" i="8" s="1"/>
  <c r="K126" i="3"/>
  <c r="K129" i="3"/>
  <c r="K124" i="3"/>
  <c r="K125" i="3"/>
  <c r="K119" i="3"/>
  <c r="K130" i="3"/>
  <c r="K120" i="3"/>
  <c r="K127" i="3"/>
  <c r="K128" i="3"/>
  <c r="K123" i="3"/>
  <c r="K122" i="3"/>
  <c r="K121" i="3"/>
  <c r="Y143" i="3"/>
  <c r="Y134" i="3"/>
  <c r="Y141" i="3"/>
  <c r="Y144" i="3"/>
  <c r="Y140" i="3"/>
  <c r="Y139" i="3"/>
  <c r="Y136" i="3"/>
  <c r="Y137" i="3"/>
  <c r="Y138" i="3"/>
  <c r="Y142" i="3"/>
  <c r="Y133" i="3"/>
  <c r="Y135" i="3"/>
  <c r="V144" i="3"/>
  <c r="V134" i="3"/>
  <c r="V143" i="3"/>
  <c r="V140" i="3"/>
  <c r="V137" i="3"/>
  <c r="V139" i="3"/>
  <c r="V142" i="3"/>
  <c r="V138" i="3"/>
  <c r="V136" i="3"/>
  <c r="V141" i="3"/>
  <c r="V133" i="3"/>
  <c r="V135" i="3"/>
  <c r="M69" i="3"/>
  <c r="P27" i="8" s="1"/>
  <c r="X138" i="3"/>
  <c r="X144" i="3"/>
  <c r="X140" i="3"/>
  <c r="X134" i="3"/>
  <c r="X141" i="3"/>
  <c r="X133" i="3"/>
  <c r="X139" i="3"/>
  <c r="X142" i="3"/>
  <c r="X143" i="3"/>
  <c r="X136" i="3"/>
  <c r="X135" i="3"/>
  <c r="X137" i="3"/>
  <c r="N142" i="3"/>
  <c r="N140" i="3"/>
  <c r="N136" i="3"/>
  <c r="N135" i="3"/>
  <c r="N143" i="3"/>
  <c r="N138" i="3"/>
  <c r="N134" i="3"/>
  <c r="N141" i="3"/>
  <c r="N137" i="3"/>
  <c r="N144" i="3"/>
  <c r="N139" i="3"/>
  <c r="N133" i="3"/>
  <c r="L129" i="3"/>
  <c r="L126" i="3"/>
  <c r="L125" i="3"/>
  <c r="L124" i="3"/>
  <c r="L130" i="3"/>
  <c r="L122" i="3"/>
  <c r="L121" i="3"/>
  <c r="L128" i="3"/>
  <c r="L123" i="3"/>
  <c r="L120" i="3"/>
  <c r="L119" i="3"/>
  <c r="L127" i="3"/>
  <c r="K68" i="3"/>
  <c r="N26" i="8" s="1"/>
  <c r="W140" i="3"/>
  <c r="W137" i="3"/>
  <c r="W142" i="3"/>
  <c r="W144" i="3"/>
  <c r="W141" i="3"/>
  <c r="W138" i="3"/>
  <c r="W136" i="3"/>
  <c r="W139" i="3"/>
  <c r="W133" i="3"/>
  <c r="W134" i="3"/>
  <c r="W143" i="3"/>
  <c r="W135" i="3"/>
  <c r="Y69" i="3"/>
  <c r="AB27" i="8" s="1"/>
  <c r="Y70" i="3"/>
  <c r="AB28" i="8" s="1"/>
  <c r="H115" i="3"/>
  <c r="V59" i="3"/>
  <c r="I115" i="3"/>
  <c r="L68" i="3"/>
  <c r="O26" i="8" s="1"/>
  <c r="U119" i="3"/>
  <c r="U121" i="3"/>
  <c r="U126" i="3"/>
  <c r="U125" i="3"/>
  <c r="U127" i="3"/>
  <c r="U128" i="3"/>
  <c r="U120" i="3"/>
  <c r="U129" i="3"/>
  <c r="U123" i="3"/>
  <c r="U122" i="3"/>
  <c r="U124" i="3"/>
  <c r="U130" i="3"/>
  <c r="T134" i="3"/>
  <c r="T143" i="3"/>
  <c r="T142" i="3"/>
  <c r="T133" i="3"/>
  <c r="T141" i="3"/>
  <c r="T139" i="3"/>
  <c r="T137" i="3"/>
  <c r="T136" i="3"/>
  <c r="T140" i="3"/>
  <c r="T144" i="3"/>
  <c r="T138" i="3"/>
  <c r="T135" i="3"/>
  <c r="S59" i="3"/>
  <c r="X59" i="3"/>
  <c r="M130" i="3"/>
  <c r="M124" i="3"/>
  <c r="M123" i="3"/>
  <c r="M128" i="3"/>
  <c r="M127" i="3"/>
  <c r="M129" i="3"/>
  <c r="M120" i="3"/>
  <c r="M121" i="3"/>
  <c r="M122" i="3"/>
  <c r="M119" i="3"/>
  <c r="M126" i="3"/>
  <c r="M125" i="3"/>
  <c r="Q123" i="3"/>
  <c r="Q126" i="3"/>
  <c r="Q127" i="3"/>
  <c r="Q120" i="3"/>
  <c r="Q124" i="3"/>
  <c r="Q119" i="3"/>
  <c r="Q125" i="3"/>
  <c r="Q130" i="3"/>
  <c r="Q122" i="3"/>
  <c r="Q129" i="3"/>
  <c r="Q121" i="3"/>
  <c r="Q128" i="3"/>
  <c r="Q60" i="3"/>
  <c r="T18" i="8" s="1"/>
  <c r="AA137" i="3"/>
  <c r="Y62" i="3"/>
  <c r="AB20" i="8" s="1"/>
  <c r="Q67" i="3"/>
  <c r="T25" i="8" s="1"/>
  <c r="J120" i="3"/>
  <c r="J129" i="3"/>
  <c r="J126" i="3"/>
  <c r="J127" i="3"/>
  <c r="J119" i="3"/>
  <c r="J121" i="3"/>
  <c r="J130" i="3"/>
  <c r="J128" i="3"/>
  <c r="J124" i="3"/>
  <c r="J123" i="3"/>
  <c r="J125" i="3"/>
  <c r="J122" i="3"/>
  <c r="S68" i="3"/>
  <c r="V26" i="8" s="1"/>
  <c r="AA133" i="3"/>
  <c r="AA65" i="3"/>
  <c r="AD23" i="8" s="1"/>
  <c r="AA144" i="3"/>
  <c r="N127" i="3"/>
  <c r="N124" i="3"/>
  <c r="N125" i="3"/>
  <c r="N128" i="3"/>
  <c r="N129" i="3"/>
  <c r="N126" i="3"/>
  <c r="N120" i="3"/>
  <c r="N123" i="3"/>
  <c r="N130" i="3"/>
  <c r="N122" i="3"/>
  <c r="N119" i="3"/>
  <c r="N121" i="3"/>
  <c r="L140" i="3"/>
  <c r="L141" i="3"/>
  <c r="L138" i="3"/>
  <c r="L137" i="3"/>
  <c r="L134" i="3"/>
  <c r="L139" i="3"/>
  <c r="L144" i="3"/>
  <c r="L143" i="3"/>
  <c r="L136" i="3"/>
  <c r="L135" i="3"/>
  <c r="L133" i="3"/>
  <c r="L142" i="3"/>
  <c r="K61" i="3"/>
  <c r="N19" i="8" s="1"/>
  <c r="W126" i="3"/>
  <c r="W125" i="3"/>
  <c r="W123" i="3"/>
  <c r="W129" i="3"/>
  <c r="W121" i="3"/>
  <c r="W130" i="3"/>
  <c r="W119" i="3"/>
  <c r="W128" i="3"/>
  <c r="W124" i="3"/>
  <c r="W122" i="3"/>
  <c r="W120" i="3"/>
  <c r="W127" i="3"/>
  <c r="Y65" i="3"/>
  <c r="AB23" i="8" s="1"/>
  <c r="M64" i="3"/>
  <c r="P22" i="8" s="1"/>
  <c r="O135" i="3"/>
  <c r="O134" i="3"/>
  <c r="O142" i="3"/>
  <c r="O141" i="3"/>
  <c r="O138" i="3"/>
  <c r="O133" i="3"/>
  <c r="O136" i="3"/>
  <c r="O137" i="3"/>
  <c r="O140" i="3"/>
  <c r="O139" i="3"/>
  <c r="O144" i="3"/>
  <c r="O143" i="3"/>
  <c r="H110" i="3"/>
  <c r="W62" i="3"/>
  <c r="Z20" i="8" s="1"/>
  <c r="V70" i="3"/>
  <c r="Y28" i="8" s="1"/>
  <c r="I107" i="3"/>
  <c r="N65" i="3"/>
  <c r="Q23" i="8" s="1"/>
  <c r="L65" i="3"/>
  <c r="O23" i="8" s="1"/>
  <c r="U138" i="3"/>
  <c r="U135" i="3"/>
  <c r="U136" i="3"/>
  <c r="U134" i="3"/>
  <c r="U133" i="3"/>
  <c r="U142" i="3"/>
  <c r="U143" i="3"/>
  <c r="U141" i="3"/>
  <c r="U137" i="3"/>
  <c r="U140" i="3"/>
  <c r="U139" i="3"/>
  <c r="U144" i="3"/>
  <c r="T66" i="3"/>
  <c r="W24" i="8" s="1"/>
  <c r="T121" i="3"/>
  <c r="T130" i="3"/>
  <c r="T128" i="3"/>
  <c r="T119" i="3"/>
  <c r="T120" i="3"/>
  <c r="T129" i="3"/>
  <c r="T125" i="3"/>
  <c r="T127" i="3"/>
  <c r="T124" i="3"/>
  <c r="T122" i="3"/>
  <c r="T126" i="3"/>
  <c r="T123" i="3"/>
  <c r="S64" i="3"/>
  <c r="V22" i="8" s="1"/>
  <c r="X66" i="3"/>
  <c r="AA24" i="8" s="1"/>
  <c r="M62" i="3"/>
  <c r="P20" i="8" s="1"/>
  <c r="K138" i="3"/>
  <c r="K136" i="3"/>
  <c r="K144" i="3"/>
  <c r="K137" i="3"/>
  <c r="K135" i="3"/>
  <c r="K142" i="3"/>
  <c r="K141" i="3"/>
  <c r="K139" i="3"/>
  <c r="K143" i="3"/>
  <c r="K133" i="3"/>
  <c r="K140" i="3"/>
  <c r="K134" i="3"/>
  <c r="K63" i="3"/>
  <c r="N21" i="8" s="1"/>
  <c r="V65" i="3"/>
  <c r="Y23" i="8" s="1"/>
  <c r="I112" i="3"/>
  <c r="X64" i="3"/>
  <c r="AA22" i="8" s="1"/>
  <c r="AA136" i="3"/>
  <c r="R64" i="3"/>
  <c r="U22" i="8" s="1"/>
  <c r="Q63" i="3"/>
  <c r="T21" i="8" s="1"/>
  <c r="K64" i="3"/>
  <c r="N22" i="8" s="1"/>
  <c r="P129" i="3"/>
  <c r="P122" i="3"/>
  <c r="P128" i="3"/>
  <c r="P121" i="3"/>
  <c r="P120" i="3"/>
  <c r="P130" i="3"/>
  <c r="P119" i="3"/>
  <c r="P127" i="3"/>
  <c r="P126" i="3"/>
  <c r="P125" i="3"/>
  <c r="P124" i="3"/>
  <c r="P123" i="3"/>
  <c r="O122" i="3"/>
  <c r="O121" i="3"/>
  <c r="O119" i="3"/>
  <c r="O130" i="3"/>
  <c r="O125" i="3"/>
  <c r="O127" i="3"/>
  <c r="O126" i="3"/>
  <c r="O123" i="3"/>
  <c r="O128" i="3"/>
  <c r="O129" i="3"/>
  <c r="O124" i="3"/>
  <c r="O120" i="3"/>
  <c r="W59" i="3"/>
  <c r="V66" i="3"/>
  <c r="Y24" i="8" s="1"/>
  <c r="V62" i="3"/>
  <c r="Y20" i="8" s="1"/>
  <c r="I114" i="3"/>
  <c r="N69" i="3"/>
  <c r="Q27" i="8" s="1"/>
  <c r="L64" i="3"/>
  <c r="O22" i="8" s="1"/>
  <c r="Y59" i="3"/>
  <c r="T67" i="3"/>
  <c r="W25" i="8" s="1"/>
  <c r="Y60" i="3"/>
  <c r="AB18" i="8" s="1"/>
  <c r="S61" i="3"/>
  <c r="V19" i="8" s="1"/>
  <c r="X60" i="3"/>
  <c r="AA18" i="8" s="1"/>
  <c r="M60" i="3"/>
  <c r="P18" i="8" s="1"/>
  <c r="Y64" i="3"/>
  <c r="AB22" i="8" s="1"/>
  <c r="R67" i="3"/>
  <c r="U25" i="8" s="1"/>
  <c r="Q70" i="3"/>
  <c r="T28" i="8" s="1"/>
  <c r="K70" i="3"/>
  <c r="N28" i="8" s="1"/>
  <c r="P144" i="3"/>
  <c r="P139" i="3"/>
  <c r="P140" i="3"/>
  <c r="P135" i="3"/>
  <c r="P134" i="3"/>
  <c r="P133" i="3"/>
  <c r="P141" i="3"/>
  <c r="P136" i="3"/>
  <c r="P137" i="3"/>
  <c r="P138" i="3"/>
  <c r="P142" i="3"/>
  <c r="P143" i="3"/>
  <c r="Y68" i="3"/>
  <c r="AB26" i="8" s="1"/>
  <c r="H105" i="3"/>
  <c r="W60" i="3"/>
  <c r="Z18" i="8" s="1"/>
  <c r="V68" i="3"/>
  <c r="Y26" i="8" s="1"/>
  <c r="I108" i="3"/>
  <c r="N70" i="3"/>
  <c r="Q28" i="8" s="1"/>
  <c r="L62" i="3"/>
  <c r="O20" i="8" s="1"/>
  <c r="T61" i="3"/>
  <c r="W19" i="8" s="1"/>
  <c r="Y66" i="3"/>
  <c r="AB24" i="8" s="1"/>
  <c r="X69" i="3"/>
  <c r="AA27" i="8" s="1"/>
  <c r="M139" i="3"/>
  <c r="M138" i="3"/>
  <c r="M134" i="3"/>
  <c r="M133" i="3"/>
  <c r="M141" i="3"/>
  <c r="M136" i="3"/>
  <c r="M143" i="3"/>
  <c r="M140" i="3"/>
  <c r="M137" i="3"/>
  <c r="M144" i="3"/>
  <c r="M142" i="3"/>
  <c r="M135" i="3"/>
  <c r="S119" i="3"/>
  <c r="S124" i="3"/>
  <c r="S128" i="3"/>
  <c r="S129" i="3"/>
  <c r="S127" i="3"/>
  <c r="S126" i="3"/>
  <c r="S121" i="3"/>
  <c r="S125" i="3"/>
  <c r="S122" i="3"/>
  <c r="S130" i="3"/>
  <c r="S123" i="3"/>
  <c r="S120" i="3"/>
  <c r="AA143" i="3"/>
  <c r="R60" i="3"/>
  <c r="U18" i="8" s="1"/>
  <c r="Q65" i="3"/>
  <c r="T23" i="8" s="1"/>
  <c r="K60" i="3"/>
  <c r="N18" i="8" s="1"/>
  <c r="M70" i="3"/>
  <c r="P28" i="8" s="1"/>
  <c r="W61" i="3"/>
  <c r="Z19" i="8" s="1"/>
  <c r="V69" i="3"/>
  <c r="Y27" i="8" s="1"/>
  <c r="P66" i="3"/>
  <c r="S24" i="8" s="1"/>
  <c r="N64" i="3"/>
  <c r="Q22" i="8" s="1"/>
  <c r="L61" i="3"/>
  <c r="O19" i="8" s="1"/>
  <c r="T70" i="3"/>
  <c r="W28" i="8" s="1"/>
  <c r="Y63" i="3"/>
  <c r="AB21" i="8" s="1"/>
  <c r="S69" i="3"/>
  <c r="V27" i="8" s="1"/>
  <c r="X63" i="3"/>
  <c r="AA21" i="8" s="1"/>
  <c r="Y61" i="3"/>
  <c r="AB19" i="8" s="1"/>
  <c r="AA123" i="3"/>
  <c r="AA119" i="3"/>
  <c r="AA129" i="3"/>
  <c r="AA122" i="3"/>
  <c r="AA130" i="3"/>
  <c r="AA120" i="3"/>
  <c r="AA124" i="3"/>
  <c r="AA121" i="3"/>
  <c r="AA59" i="3"/>
  <c r="AA128" i="3"/>
  <c r="AA127" i="3"/>
  <c r="AA126" i="3"/>
  <c r="AF66" i="3"/>
  <c r="AI24" i="8" s="1"/>
  <c r="AF61" i="3"/>
  <c r="AI19" i="8" s="1"/>
  <c r="AF138" i="3"/>
  <c r="AF139" i="3"/>
  <c r="AF140" i="3"/>
  <c r="AF141" i="3"/>
  <c r="AF134" i="3"/>
  <c r="AF142" i="3"/>
  <c r="AF135" i="3"/>
  <c r="AF136" i="3"/>
  <c r="AF133" i="3"/>
  <c r="AF137" i="3"/>
  <c r="AF144" i="3"/>
  <c r="AF143" i="3"/>
  <c r="AF59" i="3"/>
  <c r="AG127" i="3"/>
  <c r="AG120" i="3"/>
  <c r="AG128" i="3"/>
  <c r="AG121" i="3"/>
  <c r="AG122" i="3"/>
  <c r="AG123" i="3"/>
  <c r="AG124" i="3"/>
  <c r="AG129" i="3"/>
  <c r="AG125" i="3"/>
  <c r="AG130" i="3"/>
  <c r="AG119" i="3"/>
  <c r="AG126" i="3"/>
  <c r="AE139" i="3"/>
  <c r="AE140" i="3"/>
  <c r="AE141" i="3"/>
  <c r="AE134" i="3"/>
  <c r="AE142" i="3"/>
  <c r="AE135" i="3"/>
  <c r="AE143" i="3"/>
  <c r="AE136" i="3"/>
  <c r="AE133" i="3"/>
  <c r="AE137" i="3"/>
  <c r="AE138" i="3"/>
  <c r="AE144" i="3"/>
  <c r="AE70" i="3"/>
  <c r="AH28" i="8" s="1"/>
  <c r="AE121" i="3"/>
  <c r="AE122" i="3"/>
  <c r="AE123" i="3"/>
  <c r="AE124" i="3"/>
  <c r="AE125" i="3"/>
  <c r="AE130" i="3"/>
  <c r="AE119" i="3"/>
  <c r="AE126" i="3"/>
  <c r="AE127" i="3"/>
  <c r="AE128" i="3"/>
  <c r="AE120" i="3"/>
  <c r="AE129" i="3"/>
  <c r="AH61" i="3"/>
  <c r="AK19" i="8" s="1"/>
  <c r="AH126" i="3"/>
  <c r="AH127" i="3"/>
  <c r="AH120" i="3"/>
  <c r="AH128" i="3"/>
  <c r="AH121" i="3"/>
  <c r="AH122" i="3"/>
  <c r="AH124" i="3"/>
  <c r="AH129" i="3"/>
  <c r="AH125" i="3"/>
  <c r="AH130" i="3"/>
  <c r="AH119" i="3"/>
  <c r="AH123" i="3"/>
  <c r="AF68" i="3"/>
  <c r="AI26" i="8" s="1"/>
  <c r="AG60" i="3"/>
  <c r="AJ18" i="8" s="1"/>
  <c r="AG137" i="3"/>
  <c r="AG138" i="3"/>
  <c r="AG139" i="3"/>
  <c r="AG140" i="3"/>
  <c r="AG141" i="3"/>
  <c r="AG134" i="3"/>
  <c r="AG136" i="3"/>
  <c r="AG142" i="3"/>
  <c r="AG133" i="3"/>
  <c r="AG144" i="3"/>
  <c r="AG135" i="3"/>
  <c r="AG143" i="3"/>
  <c r="AB70" i="3"/>
  <c r="AE28" i="8" s="1"/>
  <c r="AB124" i="3"/>
  <c r="AB125" i="3"/>
  <c r="AB126" i="3"/>
  <c r="AB127" i="3"/>
  <c r="AB120" i="3"/>
  <c r="AB121" i="3"/>
  <c r="AB128" i="3"/>
  <c r="AB123" i="3"/>
  <c r="AB129" i="3"/>
  <c r="AB130" i="3"/>
  <c r="AB119" i="3"/>
  <c r="AB122" i="3"/>
  <c r="AH136" i="3"/>
  <c r="AH144" i="3"/>
  <c r="AH133" i="3"/>
  <c r="AH137" i="3"/>
  <c r="AH138" i="3"/>
  <c r="AH139" i="3"/>
  <c r="AH140" i="3"/>
  <c r="AH135" i="3"/>
  <c r="AH143" i="3"/>
  <c r="AH142" i="3"/>
  <c r="AH141" i="3"/>
  <c r="AH134" i="3"/>
  <c r="AE68" i="3"/>
  <c r="AH26" i="8" s="1"/>
  <c r="AB134" i="3"/>
  <c r="AB142" i="3"/>
  <c r="AB135" i="3"/>
  <c r="AB143" i="3"/>
  <c r="AB136" i="3"/>
  <c r="AB144" i="3"/>
  <c r="AB133" i="3"/>
  <c r="AB137" i="3"/>
  <c r="AB138" i="3"/>
  <c r="AB139" i="3"/>
  <c r="AB141" i="3"/>
  <c r="AB140" i="3"/>
  <c r="AF64" i="3"/>
  <c r="AI22" i="8" s="1"/>
  <c r="AF69" i="3"/>
  <c r="AI27" i="8" s="1"/>
  <c r="AE60" i="3"/>
  <c r="AH18" i="8" s="1"/>
  <c r="AC123" i="3"/>
  <c r="AC124" i="3"/>
  <c r="AC125" i="3"/>
  <c r="AC126" i="3"/>
  <c r="AC122" i="3"/>
  <c r="AC127" i="3"/>
  <c r="AC121" i="3"/>
  <c r="AC128" i="3"/>
  <c r="AC120" i="3"/>
  <c r="AC129" i="3"/>
  <c r="AC130" i="3"/>
  <c r="AC119" i="3"/>
  <c r="AD60" i="3"/>
  <c r="AG18" i="8" s="1"/>
  <c r="AD140" i="3"/>
  <c r="AD141" i="3"/>
  <c r="AD134" i="3"/>
  <c r="AD142" i="3"/>
  <c r="AD135" i="3"/>
  <c r="AD143" i="3"/>
  <c r="AD136" i="3"/>
  <c r="AD144" i="3"/>
  <c r="AD133" i="3"/>
  <c r="AD137" i="3"/>
  <c r="AD138" i="3"/>
  <c r="AD139" i="3"/>
  <c r="AD64" i="3"/>
  <c r="AG22" i="8" s="1"/>
  <c r="AD122" i="3"/>
  <c r="AD123" i="3"/>
  <c r="AD124" i="3"/>
  <c r="AD125" i="3"/>
  <c r="AD126" i="3"/>
  <c r="AD127" i="3"/>
  <c r="AD121" i="3"/>
  <c r="AD128" i="3"/>
  <c r="AD120" i="3"/>
  <c r="AD129" i="3"/>
  <c r="AD119" i="3"/>
  <c r="AD130" i="3"/>
  <c r="AE61" i="3"/>
  <c r="AH19" i="8" s="1"/>
  <c r="AF67" i="3"/>
  <c r="AI25" i="8" s="1"/>
  <c r="AF63" i="3"/>
  <c r="AI21" i="8" s="1"/>
  <c r="AF62" i="3"/>
  <c r="AI20" i="8" s="1"/>
  <c r="AF65" i="3"/>
  <c r="AI23" i="8" s="1"/>
  <c r="AF120" i="3"/>
  <c r="AF128" i="3"/>
  <c r="AF121" i="3"/>
  <c r="AF122" i="3"/>
  <c r="AF123" i="3"/>
  <c r="AF124" i="3"/>
  <c r="AF129" i="3"/>
  <c r="AF125" i="3"/>
  <c r="AF130" i="3"/>
  <c r="AF119" i="3"/>
  <c r="AF126" i="3"/>
  <c r="AF127" i="3"/>
  <c r="AH65" i="3"/>
  <c r="AK23" i="8" s="1"/>
  <c r="AG65" i="3"/>
  <c r="AJ23" i="8" s="1"/>
  <c r="AF70" i="3"/>
  <c r="AI28" i="8" s="1"/>
  <c r="AF60" i="3"/>
  <c r="AI18" i="8" s="1"/>
  <c r="AG70" i="3"/>
  <c r="AJ28" i="8" s="1"/>
  <c r="AH67" i="3"/>
  <c r="AK25" i="8" s="1"/>
  <c r="AG68" i="3"/>
  <c r="AJ26" i="8" s="1"/>
  <c r="AE67" i="3"/>
  <c r="AH25" i="8" s="1"/>
  <c r="AE69" i="3"/>
  <c r="AH27" i="8" s="1"/>
  <c r="AH70" i="3"/>
  <c r="AK28" i="8" s="1"/>
  <c r="AG64" i="3"/>
  <c r="AJ22" i="8" s="1"/>
  <c r="AG69" i="3"/>
  <c r="AJ27" i="8" s="1"/>
  <c r="AE65" i="3"/>
  <c r="AH23" i="8" s="1"/>
  <c r="AH59" i="3"/>
  <c r="AG61" i="3"/>
  <c r="AJ19" i="8" s="1"/>
  <c r="AG63" i="3"/>
  <c r="AJ21" i="8" s="1"/>
  <c r="AE63" i="3"/>
  <c r="AH21" i="8" s="1"/>
  <c r="AH60" i="3"/>
  <c r="AK18" i="8" s="1"/>
  <c r="AG67" i="3"/>
  <c r="AJ25" i="8" s="1"/>
  <c r="AE62" i="3"/>
  <c r="AH20" i="8" s="1"/>
  <c r="AH63" i="3"/>
  <c r="AK21" i="8" s="1"/>
  <c r="AG66" i="3"/>
  <c r="AJ24" i="8" s="1"/>
  <c r="AE64" i="3"/>
  <c r="AH22" i="8" s="1"/>
  <c r="AE66" i="3"/>
  <c r="AH24" i="8" s="1"/>
  <c r="AD70" i="3"/>
  <c r="AG28" i="8" s="1"/>
  <c r="AH66" i="3"/>
  <c r="AK24" i="8" s="1"/>
  <c r="AH64" i="3"/>
  <c r="AK22" i="8" s="1"/>
  <c r="AG62" i="3"/>
  <c r="AJ20" i="8" s="1"/>
  <c r="AE59" i="3"/>
  <c r="AD65" i="3"/>
  <c r="AG23" i="8" s="1"/>
  <c r="AD69" i="3"/>
  <c r="AG27" i="8" s="1"/>
  <c r="AH69" i="3"/>
  <c r="AK27" i="8" s="1"/>
  <c r="AD63" i="3"/>
  <c r="AG21" i="8" s="1"/>
  <c r="AD62" i="3"/>
  <c r="AG20" i="8" s="1"/>
  <c r="AH68" i="3"/>
  <c r="AK26" i="8" s="1"/>
  <c r="AG59" i="3"/>
  <c r="AD59" i="3"/>
  <c r="AD66" i="3"/>
  <c r="AG24" i="8" s="1"/>
  <c r="AD67" i="3"/>
  <c r="AG25" i="8" s="1"/>
  <c r="AD61" i="3"/>
  <c r="AG19" i="8" s="1"/>
  <c r="AH62" i="3"/>
  <c r="AK20" i="8" s="1"/>
  <c r="AD68" i="3"/>
  <c r="AG26" i="8" s="1"/>
  <c r="AB59" i="3"/>
  <c r="AB62" i="3"/>
  <c r="AE20" i="8" s="1"/>
  <c r="AB68" i="3"/>
  <c r="AE26" i="8" s="1"/>
  <c r="AB65" i="3"/>
  <c r="AE23" i="8" s="1"/>
  <c r="AB63" i="3"/>
  <c r="AE21" i="8" s="1"/>
  <c r="AB69" i="3"/>
  <c r="AE27" i="8" s="1"/>
  <c r="AB61" i="3"/>
  <c r="AE19" i="8" s="1"/>
  <c r="AB66" i="3"/>
  <c r="AE24" i="8" s="1"/>
  <c r="AB60" i="3"/>
  <c r="AE18" i="8" s="1"/>
  <c r="AB64" i="3"/>
  <c r="AE22" i="8" s="1"/>
  <c r="AB67" i="3"/>
  <c r="AE25" i="8" s="1"/>
  <c r="AD17" i="8" l="1"/>
  <c r="W17" i="8"/>
  <c r="W29" i="8" s="1"/>
  <c r="T71" i="3"/>
  <c r="P17" i="8"/>
  <c r="P29" i="8" s="1"/>
  <c r="M71" i="3"/>
  <c r="Z17" i="8"/>
  <c r="Z29" i="8" s="1"/>
  <c r="W71" i="3"/>
  <c r="AE17" i="8"/>
  <c r="AE29" i="8" s="1"/>
  <c r="AB71" i="3"/>
  <c r="AH17" i="8"/>
  <c r="AH29" i="8" s="1"/>
  <c r="AE71" i="3"/>
  <c r="X71" i="3"/>
  <c r="Y17" i="8"/>
  <c r="Y29" i="8" s="1"/>
  <c r="V71" i="3"/>
  <c r="N17" i="8"/>
  <c r="N29" i="8" s="1"/>
  <c r="K71" i="3"/>
  <c r="O17" i="8"/>
  <c r="O29" i="8" s="1"/>
  <c r="L71" i="3"/>
  <c r="AK17" i="8"/>
  <c r="AK29" i="8" s="1"/>
  <c r="AH71" i="3"/>
  <c r="U17" i="8"/>
  <c r="U29" i="8" s="1"/>
  <c r="R71" i="3"/>
  <c r="T17" i="8"/>
  <c r="T29" i="8" s="1"/>
  <c r="Q71" i="3"/>
  <c r="V17" i="8"/>
  <c r="V29" i="8" s="1"/>
  <c r="S71" i="3"/>
  <c r="R17" i="8"/>
  <c r="R29" i="8" s="1"/>
  <c r="O71" i="3"/>
  <c r="AG17" i="8"/>
  <c r="AG29" i="8" s="1"/>
  <c r="AD71" i="3"/>
  <c r="AB17" i="8"/>
  <c r="AB29" i="8" s="1"/>
  <c r="Y71" i="3"/>
  <c r="S17" i="8"/>
  <c r="S29" i="8" s="1"/>
  <c r="P71" i="3"/>
  <c r="AJ17" i="8"/>
  <c r="AJ29" i="8" s="1"/>
  <c r="AG71" i="3"/>
  <c r="AI17" i="8"/>
  <c r="AI29" i="8" s="1"/>
  <c r="AF71" i="3"/>
  <c r="Q17" i="8"/>
  <c r="Q29" i="8" s="1"/>
  <c r="N71" i="3"/>
  <c r="X17" i="8"/>
  <c r="X29" i="8" s="1"/>
  <c r="U71" i="3"/>
  <c r="I60" i="3"/>
  <c r="L18" i="8" s="1"/>
  <c r="I59" i="3"/>
  <c r="I61" i="3"/>
  <c r="L19" i="8" s="1"/>
  <c r="I67" i="3"/>
  <c r="L25" i="8" s="1"/>
  <c r="H63" i="3"/>
  <c r="H66" i="3"/>
  <c r="AA62" i="3"/>
  <c r="AD20" i="8" s="1"/>
  <c r="AA63" i="3"/>
  <c r="AD21" i="8" s="1"/>
  <c r="AA66" i="3"/>
  <c r="AD24" i="8" s="1"/>
  <c r="AA68" i="3"/>
  <c r="AD26" i="8" s="1"/>
  <c r="I65" i="3"/>
  <c r="L23" i="8" s="1"/>
  <c r="AA67" i="3"/>
  <c r="AD25" i="8" s="1"/>
  <c r="AA70" i="3"/>
  <c r="AD28" i="8" s="1"/>
  <c r="I68" i="3"/>
  <c r="L26" i="8" s="1"/>
  <c r="I64" i="3"/>
  <c r="L22" i="8" s="1"/>
  <c r="I69" i="3"/>
  <c r="L27" i="8" s="1"/>
  <c r="AA69" i="3"/>
  <c r="AD27" i="8" s="1"/>
  <c r="H67" i="3"/>
  <c r="H119" i="3"/>
  <c r="H127" i="3"/>
  <c r="H125" i="3"/>
  <c r="H126" i="3"/>
  <c r="H124" i="3"/>
  <c r="H123" i="3"/>
  <c r="C123" i="3" s="1"/>
  <c r="H130" i="3"/>
  <c r="H122" i="3"/>
  <c r="C122" i="3" s="1"/>
  <c r="H120" i="3"/>
  <c r="H129" i="3"/>
  <c r="H121" i="3"/>
  <c r="H128" i="3"/>
  <c r="H70" i="3"/>
  <c r="H64" i="3"/>
  <c r="C64" i="3" s="1"/>
  <c r="H65" i="3"/>
  <c r="H60" i="3"/>
  <c r="H59" i="3"/>
  <c r="H62" i="3"/>
  <c r="C62" i="3" s="1"/>
  <c r="H143" i="3"/>
  <c r="H140" i="3"/>
  <c r="C140" i="3" s="1"/>
  <c r="H144" i="3"/>
  <c r="H142" i="3"/>
  <c r="H138" i="3"/>
  <c r="C138" i="3" s="1"/>
  <c r="H137" i="3"/>
  <c r="H139" i="3"/>
  <c r="H134" i="3"/>
  <c r="C134" i="3" s="1"/>
  <c r="H133" i="3"/>
  <c r="C133" i="3" s="1"/>
  <c r="H136" i="3"/>
  <c r="H141" i="3"/>
  <c r="C141" i="3" s="1"/>
  <c r="H135" i="3"/>
  <c r="C135" i="3" s="1"/>
  <c r="J110" i="3"/>
  <c r="C110" i="3" s="1"/>
  <c r="J69" i="3"/>
  <c r="M27" i="8" s="1"/>
  <c r="J62" i="3"/>
  <c r="M20" i="8" s="1"/>
  <c r="J63" i="3"/>
  <c r="M21" i="8" s="1"/>
  <c r="J68" i="3"/>
  <c r="M26" i="8" s="1"/>
  <c r="J109" i="3"/>
  <c r="J111" i="3"/>
  <c r="C111" i="3" s="1"/>
  <c r="J66" i="3"/>
  <c r="M24" i="8" s="1"/>
  <c r="J112" i="3"/>
  <c r="C112" i="3" s="1"/>
  <c r="J70" i="3"/>
  <c r="M28" i="8" s="1"/>
  <c r="J113" i="3"/>
  <c r="C113" i="3" s="1"/>
  <c r="J115" i="3"/>
  <c r="C115" i="3" s="1"/>
  <c r="J64" i="3"/>
  <c r="M22" i="8" s="1"/>
  <c r="J60" i="3"/>
  <c r="M18" i="8" s="1"/>
  <c r="J108" i="3"/>
  <c r="J107" i="3"/>
  <c r="C107" i="3" s="1"/>
  <c r="J114" i="3"/>
  <c r="C114" i="3" s="1"/>
  <c r="J65" i="3"/>
  <c r="M23" i="8" s="1"/>
  <c r="J116" i="3"/>
  <c r="J59" i="3"/>
  <c r="J105" i="3"/>
  <c r="C105" i="3" s="1"/>
  <c r="J106" i="3"/>
  <c r="J61" i="3"/>
  <c r="M19" i="8" s="1"/>
  <c r="J67" i="3"/>
  <c r="M25" i="8" s="1"/>
  <c r="I70" i="3"/>
  <c r="L28" i="8" s="1"/>
  <c r="H69" i="3"/>
  <c r="I142" i="3"/>
  <c r="I135" i="3"/>
  <c r="I133" i="3"/>
  <c r="I136" i="3"/>
  <c r="I141" i="3"/>
  <c r="I143" i="3"/>
  <c r="I140" i="3"/>
  <c r="I144" i="3"/>
  <c r="I138" i="3"/>
  <c r="I139" i="3"/>
  <c r="I137" i="3"/>
  <c r="I134" i="3"/>
  <c r="H61" i="3"/>
  <c r="C61" i="3" s="1"/>
  <c r="AA17" i="8"/>
  <c r="AA29" i="8" s="1"/>
  <c r="AA115" i="3"/>
  <c r="AA105" i="3"/>
  <c r="AA108" i="3"/>
  <c r="AA116" i="3"/>
  <c r="AA109" i="3"/>
  <c r="AA113" i="3"/>
  <c r="AA112" i="3"/>
  <c r="AA111" i="3"/>
  <c r="AA106" i="3"/>
  <c r="AA110" i="3"/>
  <c r="AA114" i="3"/>
  <c r="AA107" i="3"/>
  <c r="I120" i="3"/>
  <c r="I123" i="3"/>
  <c r="I122" i="3"/>
  <c r="I124" i="3"/>
  <c r="I127" i="3"/>
  <c r="I128" i="3"/>
  <c r="I121" i="3"/>
  <c r="I130" i="3"/>
  <c r="I125" i="3"/>
  <c r="I119" i="3"/>
  <c r="C119" i="3" s="1"/>
  <c r="I126" i="3"/>
  <c r="I129" i="3"/>
  <c r="I63" i="3"/>
  <c r="L21" i="8" s="1"/>
  <c r="I62" i="3"/>
  <c r="L20" i="8" s="1"/>
  <c r="AA60" i="3"/>
  <c r="AD18" i="8" s="1"/>
  <c r="AA61" i="3"/>
  <c r="AD19" i="8" s="1"/>
  <c r="AA64" i="3"/>
  <c r="AD22" i="8" s="1"/>
  <c r="H68" i="3"/>
  <c r="I66" i="3"/>
  <c r="L24" i="8" s="1"/>
  <c r="AC148" i="3"/>
  <c r="AC151" i="3"/>
  <c r="AC154" i="3"/>
  <c r="AC157" i="3"/>
  <c r="AC147" i="3"/>
  <c r="AC150" i="3"/>
  <c r="AC153" i="3"/>
  <c r="AC156" i="3"/>
  <c r="AC155" i="3"/>
  <c r="AC158" i="3"/>
  <c r="AC152" i="3"/>
  <c r="AC149" i="3"/>
  <c r="AC141" i="3"/>
  <c r="AC134" i="3"/>
  <c r="AC142" i="3"/>
  <c r="AC135" i="3"/>
  <c r="AC143" i="3"/>
  <c r="AC136" i="3"/>
  <c r="AC144" i="3"/>
  <c r="AC133" i="3"/>
  <c r="AC137" i="3"/>
  <c r="AC138" i="3"/>
  <c r="AC140" i="3"/>
  <c r="AC139" i="3"/>
  <c r="AC106" i="3"/>
  <c r="AC114" i="3"/>
  <c r="AC107" i="3"/>
  <c r="AC115" i="3"/>
  <c r="AC108" i="3"/>
  <c r="AC109" i="3"/>
  <c r="AC110" i="3"/>
  <c r="AC112" i="3"/>
  <c r="AC111" i="3"/>
  <c r="AC116" i="3"/>
  <c r="AC105" i="3"/>
  <c r="AC113" i="3"/>
  <c r="AC67" i="3"/>
  <c r="AF25" i="8" s="1"/>
  <c r="AC61" i="3"/>
  <c r="AF19" i="8" s="1"/>
  <c r="AC60" i="3"/>
  <c r="AF18" i="8" s="1"/>
  <c r="AC65" i="3"/>
  <c r="AF23" i="8" s="1"/>
  <c r="AC62" i="3"/>
  <c r="AF20" i="8" s="1"/>
  <c r="AC69" i="3"/>
  <c r="AF27" i="8" s="1"/>
  <c r="AC66" i="3"/>
  <c r="AF24" i="8" s="1"/>
  <c r="AC68" i="3"/>
  <c r="AF26" i="8" s="1"/>
  <c r="AC63" i="3"/>
  <c r="AF21" i="8" s="1"/>
  <c r="AC70" i="3"/>
  <c r="AF28" i="8" s="1"/>
  <c r="AC64" i="3"/>
  <c r="AF22" i="8" s="1"/>
  <c r="AC59" i="3"/>
  <c r="C130" i="3" l="1"/>
  <c r="H172" i="3" s="1"/>
  <c r="C124" i="3"/>
  <c r="H166" i="3" s="1"/>
  <c r="C68" i="3"/>
  <c r="C126" i="3"/>
  <c r="H168" i="3" s="1"/>
  <c r="C128" i="3"/>
  <c r="H170" i="3" s="1"/>
  <c r="C69" i="3"/>
  <c r="C142" i="3"/>
  <c r="I170" i="3" s="1"/>
  <c r="C144" i="3"/>
  <c r="I172" i="3" s="1"/>
  <c r="C143" i="3"/>
  <c r="I171" i="3" s="1"/>
  <c r="C125" i="3"/>
  <c r="H167" i="3" s="1"/>
  <c r="C63" i="3"/>
  <c r="C127" i="3"/>
  <c r="H169" i="3" s="1"/>
  <c r="C60" i="3"/>
  <c r="C137" i="3"/>
  <c r="I165" i="3" s="1"/>
  <c r="C59" i="3"/>
  <c r="C17" i="8" s="1"/>
  <c r="G161" i="3"/>
  <c r="C67" i="3"/>
  <c r="G167" i="3"/>
  <c r="G170" i="3"/>
  <c r="C116" i="3"/>
  <c r="G172" i="3" s="1"/>
  <c r="G168" i="3"/>
  <c r="I162" i="3"/>
  <c r="C66" i="3"/>
  <c r="G166" i="3"/>
  <c r="C65" i="3"/>
  <c r="G163" i="3"/>
  <c r="C70" i="3"/>
  <c r="C28" i="8" s="1"/>
  <c r="C136" i="3"/>
  <c r="I164" i="3" s="1"/>
  <c r="C121" i="3"/>
  <c r="H163" i="3" s="1"/>
  <c r="C109" i="3"/>
  <c r="G165" i="3" s="1"/>
  <c r="G171" i="3"/>
  <c r="C129" i="3"/>
  <c r="H171" i="3" s="1"/>
  <c r="C106" i="3"/>
  <c r="G162" i="3" s="1"/>
  <c r="G169" i="3"/>
  <c r="C139" i="3"/>
  <c r="I167" i="3" s="1"/>
  <c r="C120" i="3"/>
  <c r="H162" i="3" s="1"/>
  <c r="C108" i="3"/>
  <c r="G164" i="3" s="1"/>
  <c r="H165" i="3"/>
  <c r="I168" i="3"/>
  <c r="I163" i="3"/>
  <c r="H161" i="3"/>
  <c r="I166" i="3"/>
  <c r="H164" i="3"/>
  <c r="M17" i="8"/>
  <c r="M29" i="8" s="1"/>
  <c r="J71" i="3"/>
  <c r="K26" i="8"/>
  <c r="K20" i="8"/>
  <c r="K21" i="8"/>
  <c r="K18" i="8"/>
  <c r="AA71" i="3"/>
  <c r="I169" i="3"/>
  <c r="K23" i="8"/>
  <c r="K19" i="8"/>
  <c r="K27" i="8"/>
  <c r="K22" i="8"/>
  <c r="K25" i="8"/>
  <c r="L17" i="8"/>
  <c r="L29" i="8" s="1"/>
  <c r="I71" i="3"/>
  <c r="K17" i="8"/>
  <c r="H71" i="3"/>
  <c r="I161" i="3"/>
  <c r="K28" i="8"/>
  <c r="K24" i="8"/>
  <c r="AF17" i="8"/>
  <c r="AF29" i="8" s="1"/>
  <c r="AC71" i="3"/>
  <c r="AD29" i="8"/>
  <c r="K170" i="3" l="1"/>
  <c r="K162" i="3"/>
  <c r="K171" i="3"/>
  <c r="K167" i="3"/>
  <c r="K168" i="3"/>
  <c r="K165" i="3"/>
  <c r="K164" i="3"/>
  <c r="K161" i="3"/>
  <c r="K163" i="3"/>
  <c r="K29" i="8"/>
  <c r="K166" i="3"/>
  <c r="K172" i="3"/>
  <c r="K169" i="3"/>
  <c r="C27" i="8"/>
  <c r="C26" i="8" l="1"/>
  <c r="C25" i="8" l="1"/>
  <c r="C24" i="8" l="1"/>
  <c r="C23" i="8" l="1"/>
  <c r="C22" i="8" l="1"/>
  <c r="C21" i="8" l="1"/>
  <c r="C20" i="8" l="1"/>
  <c r="C19" i="8" l="1"/>
  <c r="C18" i="8" l="1"/>
  <c r="D17" i="8" s="1"/>
  <c r="D20" i="8" l="1"/>
  <c r="D26" i="8"/>
  <c r="D21" i="8"/>
  <c r="D23" i="8"/>
  <c r="D18" i="8"/>
  <c r="D25" i="8"/>
  <c r="D28" i="8"/>
  <c r="D22" i="8"/>
  <c r="D24" i="8"/>
  <c r="D19" i="8"/>
  <c r="D27"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<sst xmlns="http://schemas.openxmlformats.org/spreadsheetml/2006/main" count="887" uniqueCount="451">
  <si>
    <t>Avoided Cost Calculator - Gas</t>
  </si>
  <si>
    <t>2026 ACC Gas model v1a</t>
  </si>
  <si>
    <t>Prepared by:</t>
  </si>
  <si>
    <t>Energy and Environmental Economics, Inc.</t>
  </si>
  <si>
    <t>44 Montgomery Street, Suite 1250</t>
  </si>
  <si>
    <t>San Francisco, CA 94104</t>
  </si>
  <si>
    <t>Phone: 415-391-5100</t>
  </si>
  <si>
    <t>Cell Color Coding</t>
  </si>
  <si>
    <t>Input</t>
  </si>
  <si>
    <t>Calculated Value</t>
  </si>
  <si>
    <t>User Input</t>
  </si>
  <si>
    <t>Lookup Formula</t>
  </si>
  <si>
    <t>Yearly Lookup Value</t>
  </si>
  <si>
    <t>Final Outputs</t>
  </si>
  <si>
    <t>Values Pasted from Calculation/Macros</t>
  </si>
  <si>
    <t>Main Inputs</t>
  </si>
  <si>
    <t>User Inputs</t>
  </si>
  <si>
    <t>Utility</t>
  </si>
  <si>
    <t>SoCalGas</t>
  </si>
  <si>
    <t>Class</t>
  </si>
  <si>
    <t>Residential</t>
  </si>
  <si>
    <t>End Use</t>
  </si>
  <si>
    <t>Small Boiler (&lt;100MMBtu/Hr)</t>
  </si>
  <si>
    <t>Emission Control</t>
  </si>
  <si>
    <t>Uncontrolled</t>
  </si>
  <si>
    <t>Cost Test</t>
  </si>
  <si>
    <t>SCT</t>
  </si>
  <si>
    <t>Societal Cost of Carbon (SCC)</t>
  </si>
  <si>
    <t>Base</t>
  </si>
  <si>
    <t>(SCC values are only used for the SCT)</t>
  </si>
  <si>
    <t>Levelized Results Settings</t>
  </si>
  <si>
    <t>Start year</t>
  </si>
  <si>
    <t>Levelization Period</t>
  </si>
  <si>
    <t>(Enter 1 yr to show single year results)</t>
  </si>
  <si>
    <t>Last Year</t>
  </si>
  <si>
    <t>Nominal Discount Rate</t>
  </si>
  <si>
    <t>Annualization</t>
  </si>
  <si>
    <t>Inflation Rate</t>
  </si>
  <si>
    <t>Components to Include</t>
  </si>
  <si>
    <t>Market (Commodity)</t>
  </si>
  <si>
    <t>T&amp;D</t>
  </si>
  <si>
    <t>Environment (CO2 &amp; NOx)</t>
  </si>
  <si>
    <t>Upstream methane leakage</t>
  </si>
  <si>
    <t>Behind-the-meter methane leakage</t>
  </si>
  <si>
    <t>Air Quality Adder</t>
  </si>
  <si>
    <t>Final Air Quality Adder</t>
  </si>
  <si>
    <t>* Included for SCT only. Does not include NOx value, which is included in Environment component</t>
  </si>
  <si>
    <t>Intermediate Values</t>
  </si>
  <si>
    <t>Active values based on user inputs</t>
  </si>
  <si>
    <t>Month</t>
  </si>
  <si>
    <t>T&amp;D Allocation
Factor</t>
  </si>
  <si>
    <t>NOx (lbs/therm)</t>
  </si>
  <si>
    <t>January</t>
  </si>
  <si>
    <t>CO2 (tonnes/therm)</t>
  </si>
  <si>
    <t>February</t>
  </si>
  <si>
    <t>Compression</t>
  </si>
  <si>
    <t>March</t>
  </si>
  <si>
    <t>Losses and Unaccounted</t>
  </si>
  <si>
    <t>April</t>
  </si>
  <si>
    <t>May</t>
  </si>
  <si>
    <t>June</t>
  </si>
  <si>
    <t>July</t>
  </si>
  <si>
    <t>August</t>
  </si>
  <si>
    <t>September</t>
  </si>
  <si>
    <t>October</t>
  </si>
  <si>
    <t>November</t>
  </si>
  <si>
    <t>December</t>
  </si>
  <si>
    <t>Annual Cost by Component ($/therm)</t>
  </si>
  <si>
    <t>Average T&amp;D Cost</t>
  </si>
  <si>
    <t>NOx Emissions Cost</t>
  </si>
  <si>
    <t>CO2 Cost</t>
  </si>
  <si>
    <t>Upstream Methane Leakage Cost</t>
  </si>
  <si>
    <t>Behind-the-Meter Methane Leakage Cost</t>
  </si>
  <si>
    <t>Results</t>
  </si>
  <si>
    <t>Levelized</t>
  </si>
  <si>
    <t>Offset</t>
  </si>
  <si>
    <t>Results by Component</t>
  </si>
  <si>
    <t>Market</t>
  </si>
  <si>
    <t>Environment</t>
  </si>
  <si>
    <t>Selected Year</t>
  </si>
  <si>
    <t>Total</t>
  </si>
  <si>
    <t>Output Summary</t>
  </si>
  <si>
    <t>User Inputs (Select on Dashboard)</t>
  </si>
  <si>
    <t>Levelized Results Settings  (Select on Dashboard)</t>
  </si>
  <si>
    <t>Levelized Gas Avoided Costs</t>
  </si>
  <si>
    <t>Monthly Gas Avoided Costs</t>
  </si>
  <si>
    <t xml:space="preserve">Monthly </t>
  </si>
  <si>
    <t>Annual Average</t>
  </si>
  <si>
    <t>Gas Commodity Costs ($/MMBtu)</t>
  </si>
  <si>
    <t>CA Gas Price Forecast ($/MMBtu) ($Nominal)</t>
  </si>
  <si>
    <t>Gas Commodity Costs ($/therm)</t>
  </si>
  <si>
    <t>CA Gas Price Forecast ($/therm) ($Nominal)</t>
  </si>
  <si>
    <t>CA Gas Price Forecast</t>
  </si>
  <si>
    <t>Gas Emissions Values</t>
  </si>
  <si>
    <t>Gas Emissions Rates</t>
  </si>
  <si>
    <t>Combustor Type</t>
  </si>
  <si>
    <t>Controls</t>
  </si>
  <si>
    <t>NOx (lb/MMBtu)</t>
  </si>
  <si>
    <t>CO2 (lb/MMBtu)</t>
  </si>
  <si>
    <t>CO2 (Tonnes / Therm)</t>
  </si>
  <si>
    <t>Key</t>
  </si>
  <si>
    <t>Large Boiler (&gt;100MMBtu/Hr)</t>
  </si>
  <si>
    <t>Low Nox Burner</t>
  </si>
  <si>
    <t>Flue Gas Recirculation</t>
  </si>
  <si>
    <t>Residential Furnace</t>
  </si>
  <si>
    <t>Gas Emissions Costs - TRC</t>
  </si>
  <si>
    <t>NOx (nominal $/lb)</t>
  </si>
  <si>
    <t>NOx (nominal $/therm)</t>
  </si>
  <si>
    <t>CO2 (nominal $/tonne)</t>
  </si>
  <si>
    <t>PM10 (nominal $/lb)</t>
  </si>
  <si>
    <t>Gas Emissions Costs - SCT</t>
  </si>
  <si>
    <t>Air Quality Adder (2020 $/therm)</t>
  </si>
  <si>
    <t>Air Quality Adder (nominal $/therm)</t>
  </si>
  <si>
    <t>Social Cost of Carbon Base (2020 $/tonne)</t>
  </si>
  <si>
    <t>Social Cost of Carbon High (2020 $/tonne)</t>
  </si>
  <si>
    <t>Social Cost of Carbon Base (nominal $/tonne)</t>
  </si>
  <si>
    <t>Social Cost of Carbon High (nominal $/tonne)</t>
  </si>
  <si>
    <t>Gas Emissions Costs - Active</t>
  </si>
  <si>
    <t>NOx Cost (nominal $/therm)</t>
  </si>
  <si>
    <t>CO2 Cost (nominal $/tonne)</t>
  </si>
  <si>
    <t>Gas Emissions Costs</t>
  </si>
  <si>
    <t>Gas Transportation Marginal Costs ($/therm, nominal)</t>
  </si>
  <si>
    <t>Transportation Marginal Costs</t>
  </si>
  <si>
    <t>Nominal $/Therm</t>
  </si>
  <si>
    <t>PG&amp;E</t>
  </si>
  <si>
    <t>Commercial</t>
  </si>
  <si>
    <t>Total Core</t>
  </si>
  <si>
    <t>SDG&amp;E</t>
  </si>
  <si>
    <t>Gas Transportation Allocation</t>
  </si>
  <si>
    <t>Natural Gas Customer Shape</t>
  </si>
  <si>
    <t>Winter Throughput</t>
  </si>
  <si>
    <t>Summer</t>
  </si>
  <si>
    <t>Winter Allocation</t>
  </si>
  <si>
    <t>Summer Allocation</t>
  </si>
  <si>
    <t>Monthly allocation of annual average gas T&amp;D cost per therm</t>
  </si>
  <si>
    <t>Methane Leakage</t>
  </si>
  <si>
    <t>Methane leakage adders</t>
  </si>
  <si>
    <t>Selected Adder at Specified GWP time horizon</t>
  </si>
  <si>
    <t>Upstream - In-State</t>
  </si>
  <si>
    <t>Upstream - National Average</t>
  </si>
  <si>
    <t>Variable</t>
  </si>
  <si>
    <t>used in TRC</t>
  </si>
  <si>
    <t>used in SCT</t>
  </si>
  <si>
    <t>Note</t>
  </si>
  <si>
    <t>Upstream methane leakage adder</t>
  </si>
  <si>
    <t>Methane leakage upstream of natural gas power plants. Also applies to programs that change natural gas consumption only.  Methane leakage avoided cost is this percentage times the value of GHG emissions</t>
  </si>
  <si>
    <t>Upstream methane leakage rate</t>
  </si>
  <si>
    <t>Residential behind-the-meter methane leakage adder</t>
  </si>
  <si>
    <t>Applies only to programs that eliminate natural gas appliances from a residential building.</t>
  </si>
  <si>
    <t>Residential behind-the-meter methane leakage rate</t>
  </si>
  <si>
    <t>Active GWP time horizon</t>
  </si>
  <si>
    <t>100-yr</t>
  </si>
  <si>
    <t>Methane leakage GWPs (AR4)</t>
  </si>
  <si>
    <t>20-yr</t>
  </si>
  <si>
    <t>Active GWP</t>
  </si>
  <si>
    <t>Methane leakage rate conversion</t>
  </si>
  <si>
    <t>Methane GWP if Leaked</t>
  </si>
  <si>
    <t>Difference in molar mass between CH4 and CO2</t>
  </si>
  <si>
    <t>Methane leakage rate to adder conversion</t>
  </si>
  <si>
    <t>Compression Factor and Loss Input</t>
  </si>
  <si>
    <t>Compression Factor</t>
  </si>
  <si>
    <t>Loss and Unaccounted</t>
  </si>
  <si>
    <t>* PG&amp;E LUAF figure includes both LUAF and compression</t>
  </si>
  <si>
    <t>IRP Inputs</t>
  </si>
  <si>
    <t>Inflation</t>
  </si>
  <si>
    <t>Utility Authorized Rate of Return</t>
  </si>
  <si>
    <t>TRC</t>
  </si>
  <si>
    <t>Real Discount Rate</t>
  </si>
  <si>
    <t>Unit Conversion</t>
  </si>
  <si>
    <t>Therms / MMBtu</t>
  </si>
  <si>
    <t>Measure Inputs</t>
  </si>
  <si>
    <t>Program Year</t>
  </si>
  <si>
    <t>Project Name</t>
  </si>
  <si>
    <t>Subdivision/Development</t>
  </si>
  <si>
    <t>Building Type</t>
  </si>
  <si>
    <t>Avoided Mainline Extension (ft)</t>
  </si>
  <si>
    <t>Avoided Number of Services</t>
  </si>
  <si>
    <t>Avoided Number of Meters</t>
  </si>
  <si>
    <t>Example_Project_Name_PGE</t>
  </si>
  <si>
    <t>New Greenfield</t>
  </si>
  <si>
    <t>Residential Single Family</t>
  </si>
  <si>
    <t>Example_Project_Name_SCG</t>
  </si>
  <si>
    <t>Example_Project_Name_SDGE</t>
  </si>
  <si>
    <t>Measure Results</t>
  </si>
  <si>
    <t>Input Dollar Year</t>
  </si>
  <si>
    <t>Assumptions</t>
  </si>
  <si>
    <t>PG&amp;E inputs reflect projects from 2021-2025. 2023 dollar year is used as a simple midpoint from the dataset</t>
  </si>
  <si>
    <t>Mainline Extension ($/ft)</t>
  </si>
  <si>
    <t>Subdivision</t>
  </si>
  <si>
    <t>Residential Multi-Family</t>
  </si>
  <si>
    <t>Small/Medium Commercial</t>
  </si>
  <si>
    <t>Large Commercial</t>
  </si>
  <si>
    <t>Service Extension ($/service or building)</t>
  </si>
  <si>
    <t>* Excluding trenching costs</t>
  </si>
  <si>
    <t>Existing</t>
  </si>
  <si>
    <t>Meter ($/meter)</t>
  </si>
  <si>
    <t>Project costs provided by SoCalGas and SDG&amp;E are bundled for existing and greenfield development</t>
  </si>
  <si>
    <t>Gas Price Forecast (Nominal $/MMBtu)</t>
  </si>
  <si>
    <t>PG&amp;E BB (Hub PG&amp;E)</t>
  </si>
  <si>
    <t>PG&amp;E Citygate</t>
  </si>
  <si>
    <t>PG&amp;E LT (Hub PG&amp;E)</t>
  </si>
  <si>
    <t>SoCalGas (Hub SoCalGas)</t>
  </si>
  <si>
    <t>Average PG&amp;E/SoCalGas</t>
  </si>
  <si>
    <t>Average PG&amp;E/SoCalGas, including Transportation</t>
  </si>
  <si>
    <t>Year</t>
  </si>
  <si>
    <t>Date</t>
  </si>
  <si>
    <t>Month-Year</t>
  </si>
  <si>
    <t>Monthly gas price</t>
  </si>
  <si>
    <t>Transportation rate</t>
  </si>
  <si>
    <t>Burnertip price</t>
  </si>
  <si>
    <t>Commodity Price</t>
  </si>
  <si>
    <t>Average Commodity Price</t>
  </si>
  <si>
    <t>Average</t>
  </si>
  <si>
    <t>Burnertip Price</t>
  </si>
  <si>
    <t>PG&amp;E BB</t>
  </si>
  <si>
    <t>2023 IEPR GDP Deflator</t>
  </si>
  <si>
    <t>Used for adjusting Gas Prices to Nominal $</t>
  </si>
  <si>
    <t>Multiplier for Nominal $</t>
  </si>
  <si>
    <t>Basis Year</t>
  </si>
  <si>
    <t>Gas Price Input Dollar Year</t>
  </si>
  <si>
    <t xml:space="preserve">First Value </t>
  </si>
  <si>
    <t>Units</t>
  </si>
  <si>
    <t>Page/Cell</t>
  </si>
  <si>
    <t>Name</t>
  </si>
  <si>
    <t>Document Name</t>
  </si>
  <si>
    <t>Section/Sheet</t>
  </si>
  <si>
    <t>Date Accessed</t>
  </si>
  <si>
    <t>Date Published</t>
  </si>
  <si>
    <t>Organization</t>
  </si>
  <si>
    <t>Proceeding</t>
  </si>
  <si>
    <t>File Name</t>
  </si>
  <si>
    <t>Proceeding Link</t>
  </si>
  <si>
    <t>Document Link</t>
  </si>
  <si>
    <t>Document Parent Site</t>
  </si>
  <si>
    <t>Power Plant Burner Tip Price Forecast</t>
  </si>
  <si>
    <t>Base-BT Prices</t>
  </si>
  <si>
    <t>CEC</t>
  </si>
  <si>
    <t>2023 IEPR (20-IEPR-01)</t>
  </si>
  <si>
    <t>2023_IEPR_Preliminary_Electric_Generation_Price_Model_ada.xlsx</t>
  </si>
  <si>
    <t>https://www.energy.ca.gov/media/4039</t>
  </si>
  <si>
    <t>https://www.energy.ca.gov/programs-and-topics/topics/energy-assessment/natural-gas-electric-generation-prices-california-and</t>
  </si>
  <si>
    <t>%</t>
  </si>
  <si>
    <t>Other Inputs/F14</t>
  </si>
  <si>
    <t>PG&amp;E ROR</t>
  </si>
  <si>
    <t>Application 25-03-010</t>
  </si>
  <si>
    <t>DECISION ADDRESSING TEST YEAR 2026 COST OF CAPITAL FOR PACIFIC GAS AND ELECTRIC COMPANY, SOUTHERN CALIFORNIA
EDISON, SOUTHERN CALIFORNIA GAS COMPANY, AND SAN DIEGO GAS &amp; ELECTRIC COMPANY</t>
  </si>
  <si>
    <t>https://docs.cpuc.ca.gov/PublishedDocs/Published/G000/M591/K833/591833054.PDF</t>
  </si>
  <si>
    <t>https://www.cpuc.ca.gov/industries-and-topics/electrical-energy/electric-costs/cost-of-capital</t>
  </si>
  <si>
    <t>Other Inputs/F15</t>
  </si>
  <si>
    <t>SCG ROR</t>
  </si>
  <si>
    <t>Other Inputs/F16</t>
  </si>
  <si>
    <t>SDG&amp;E ROR</t>
  </si>
  <si>
    <t>$/tonne</t>
  </si>
  <si>
    <t>Emissions/D19</t>
  </si>
  <si>
    <t>AGIC/D42 and below</t>
  </si>
  <si>
    <t>PGE Gas Infrastructure Cost Estimates</t>
  </si>
  <si>
    <t>2026 ACC Update Natural Gas Data Request - PG&amp;E Data Response attachment</t>
  </si>
  <si>
    <t>Responses tab</t>
  </si>
  <si>
    <t>PGE</t>
  </si>
  <si>
    <t>DER-CustomerPrograms_DR_ED_008-Q001Supp01Atch01.xlsx</t>
  </si>
  <si>
    <t>AGIC / Rows 41-62</t>
  </si>
  <si>
    <t>SCG and SDGE Gas Infrastructure Cost Estimates</t>
  </si>
  <si>
    <t>2026 ACC Update Natural Gas Data Request - Southern California Gas and SDG&amp;E Joint Response</t>
  </si>
  <si>
    <t>Page 3</t>
  </si>
  <si>
    <t>SCG, SDG&amp;E</t>
  </si>
  <si>
    <t>SoCalGas_SDGE_Response_ED AGIC Data Request_03.20.2026.pdf</t>
  </si>
  <si>
    <t>Emissions/D6 to D12</t>
  </si>
  <si>
    <t>NOx Emission Rates (Large Boiler, Small Boiler, Residential Furnace, with and without controls)</t>
  </si>
  <si>
    <t>EPA AP-42: Compilation of Air Emissions Factors from Stationary Sources, Section 1.4 Natural Gas Combustion</t>
  </si>
  <si>
    <t>https://www.epa.gov/sites/default/files/2020-09/documents/1.4_natural_gas_combustion.pdf</t>
  </si>
  <si>
    <t>https://www.epa.gov/air-emissions-factors-and-quantification/ap-42-compilation-air-emissions-factors-stationary-sources</t>
  </si>
  <si>
    <t>Emissions/E6 to E12</t>
  </si>
  <si>
    <t>CO2 Emission Rates (Large Boiler, Small Boiler, Residential Furnace, with and without controls)</t>
  </si>
  <si>
    <t>Emissions/C17 to G17</t>
  </si>
  <si>
    <t>NOx Emission Costs (2019 to 2023)</t>
  </si>
  <si>
    <t>Emissions/C20 to G20</t>
  </si>
  <si>
    <t>PM10 Emission Costs (2019 to 2023). Not used but provided for user's own calculations</t>
  </si>
  <si>
    <t>T&amp;D /Rows 5 to 13</t>
  </si>
  <si>
    <t>PG&amp;E Gas Transportation Marginal Cost estimates</t>
  </si>
  <si>
    <t>2026 ACC Update Natural Gas Data Request - PG&amp;E Data Response</t>
  </si>
  <si>
    <t>Part Two tab</t>
  </si>
  <si>
    <t>(PG&amp;E) DER-CustomerPrograms_DR_ED_008-Q001Attach01.xlsx</t>
  </si>
  <si>
    <t>SoCalGas, and SDG&amp;E Gas Transportation Marginal Cost estimates</t>
  </si>
  <si>
    <t>Page 8</t>
  </si>
  <si>
    <t>T&amp;D / Rows 31 to 42</t>
  </si>
  <si>
    <t>PG&amp;E Natural Gas Customer Shape</t>
  </si>
  <si>
    <t>Part Three tab</t>
  </si>
  <si>
    <t>PG&amp;E, SoCalGas, and SDG&amp;E Natural Gas Customer Shape</t>
  </si>
  <si>
    <t>Page 11</t>
  </si>
  <si>
    <t>IEPR Gas Prices Real</t>
  </si>
  <si>
    <t>GDP Deflator</t>
  </si>
  <si>
    <t>2020 $/therm</t>
  </si>
  <si>
    <t>Emissions/D23</t>
  </si>
  <si>
    <t>Quantifying the Air Quality Impacts of Decarbonization and Distributed Energy Programs in California</t>
  </si>
  <si>
    <t>Executive Summary, table summarizing air quality impacts, pg. 8</t>
  </si>
  <si>
    <t>Energy and Environmental Economics, Advanced Power and Energy Program</t>
  </si>
  <si>
    <t>https://www.ethree.com/wp-content/uploads/2022/01/CPUC-Air-Quality-Report-FINAL.pdf</t>
  </si>
  <si>
    <t>2020 $/tonne</t>
  </si>
  <si>
    <t>Emissions/D25 - D26</t>
  </si>
  <si>
    <t>Social Cost of Carbon Base &amp; High (2020 $/tonne)</t>
  </si>
  <si>
    <t>Technical Support Document: Social Cost of Carbon, Methane, and Nitrous Oxide Interim Estimates under Executive Order 13990</t>
  </si>
  <si>
    <t>Table ES-1: Social Cost of CO2, pg. 5</t>
  </si>
  <si>
    <t>Interagency Working Group on Social Cost of Greenhouse Gases, United States Government</t>
  </si>
  <si>
    <t>https://www.whitehouse.gov/wp-content/uploads/2021/02/TechnicalSupportDocument_SocialCostofCarbonMethaneNitrousOxide.pdf</t>
  </si>
  <si>
    <t>Methane Leakage/D5</t>
  </si>
  <si>
    <t>Upstream - In-State Methane Leakage</t>
  </si>
  <si>
    <t>October 2019 IDER Staff Proposal. See also detailed description in documentation</t>
  </si>
  <si>
    <t>Methane Leakage/E5</t>
  </si>
  <si>
    <t>Upstream - National Average Methane Leakage</t>
  </si>
  <si>
    <t>Decision Adopting the Societal Cost Test</t>
  </si>
  <si>
    <t>Summary, pg. 2</t>
  </si>
  <si>
    <t>CPUC</t>
  </si>
  <si>
    <t>R.22-11-013</t>
  </si>
  <si>
    <t>Dashboard Lists</t>
  </si>
  <si>
    <t>Cost Tests</t>
  </si>
  <si>
    <t>SCC</t>
  </si>
  <si>
    <t>High</t>
  </si>
  <si>
    <t>Emissions Control Options</t>
  </si>
  <si>
    <t>Large and Small Boilers</t>
  </si>
  <si>
    <t>AGIC Inputs</t>
  </si>
  <si>
    <t>Including/Excluding</t>
  </si>
  <si>
    <t>Including</t>
  </si>
  <si>
    <t>Excluding</t>
  </si>
  <si>
    <t>Tab</t>
  </si>
  <si>
    <t>First Cell</t>
  </si>
  <si>
    <t>Update</t>
  </si>
  <si>
    <t>Impact</t>
  </si>
  <si>
    <t>Version 1b</t>
  </si>
  <si>
    <t xml:space="preserve">Emissions </t>
  </si>
  <si>
    <t>B20</t>
  </si>
  <si>
    <t>Updated CO2 $/ton to match GHG adder in 2020 ACC Electric Model v1b</t>
  </si>
  <si>
    <t>Updated tab colors to be consistent with Electric Model</t>
  </si>
  <si>
    <t>Cover</t>
  </si>
  <si>
    <t>Reorganized and renamed first tab to "Cover" to be consistent with Electric Model</t>
  </si>
  <si>
    <t>Version 1c</t>
  </si>
  <si>
    <t>User Dashboard</t>
  </si>
  <si>
    <t>J8</t>
  </si>
  <si>
    <t>Update WACC to 7.68% to be consistent with Electric ACC</t>
  </si>
  <si>
    <t>C8</t>
  </si>
  <si>
    <t>Update default value to 20-year consistent with Decision</t>
  </si>
  <si>
    <t>Version 1a</t>
  </si>
  <si>
    <t>IEPR Gas Prices Nominal</t>
  </si>
  <si>
    <t>Updated transporation rate and burnertip prices</t>
  </si>
  <si>
    <t>SNL Gas Prices</t>
  </si>
  <si>
    <t>Updated gas forwards from SNL</t>
  </si>
  <si>
    <t>Updated CO2 $/ton to match GHG adder in 2021 ACC Electric Model v1a</t>
  </si>
  <si>
    <t>Updated default value to 100-year</t>
  </si>
  <si>
    <t>Removed the "SNL Gas Prices" tab</t>
  </si>
  <si>
    <t>Commodity</t>
  </si>
  <si>
    <t>G4</t>
  </si>
  <si>
    <t>Updated to stop referencing SNL Gas Prices</t>
  </si>
  <si>
    <t>Updated gas forecasts using IEPR real $ and used consistent methodology with IRP to split up transportation rate and gas forecasts</t>
  </si>
  <si>
    <t>Other Inputs</t>
  </si>
  <si>
    <t>G5</t>
  </si>
  <si>
    <t>Corrected the transporation rate basis year to be 2018 based on the CEC model: June_2020_Model_CEC-200-2014-008_ADA.xlsm</t>
  </si>
  <si>
    <t>E243</t>
  </si>
  <si>
    <t xml:space="preserve">Deleted values after year 2036 as there's no data available </t>
  </si>
  <si>
    <t>C20</t>
  </si>
  <si>
    <t>Natural Gas GHG Interim Value based on the costs of building electrification from the CEC report: https://www.energy.ca.gov/publications/2021/california-building-decarbonization-assessment</t>
  </si>
  <si>
    <t>AGIC</t>
  </si>
  <si>
    <t>Created a new tab to calculate Avoided Gas Infrastructure Costs</t>
  </si>
  <si>
    <t>Updated PG&amp;E discount rate to reflect updated 2021 value. 2021 value was updated after initial release: see https://www.pge.com/tariffs/assets/pdf/adviceletter/GAS_4275-G.pdf</t>
  </si>
  <si>
    <t>Version v1b</t>
  </si>
  <si>
    <t>F6</t>
  </si>
  <si>
    <t>Updated the unit of gas emission rates from Tons/therm to Tonne/therm</t>
  </si>
  <si>
    <t>Multiple tabs</t>
  </si>
  <si>
    <t>Changed all units from Ton to Tonne</t>
  </si>
  <si>
    <t>A22</t>
  </si>
  <si>
    <t>Deleted comment about the GHG value being a societal value, which is incorrect</t>
  </si>
  <si>
    <t>E42</t>
  </si>
  <si>
    <t>Fixed bug that incorrectly updated calculations when selecting different Levelization options</t>
  </si>
  <si>
    <t>C4</t>
  </si>
  <si>
    <t>Updated formatting of user inputs to provide better clarity and align with Electric Model formatting</t>
  </si>
  <si>
    <t>C14</t>
  </si>
  <si>
    <t>Updated Nominal Discount Rate and Inflation Rate to pull from IRP inputs instead of using User input values</t>
  </si>
  <si>
    <t>C18</t>
  </si>
  <si>
    <t>Added Inflation and IOU discount rates from IRP to use throughout workbook</t>
  </si>
  <si>
    <t>B29</t>
  </si>
  <si>
    <t>Updated legend to specify that purple cells indicate User Input instead of Dropdown Menu Input</t>
  </si>
  <si>
    <t>G6</t>
  </si>
  <si>
    <t>Updated gas price forecasts</t>
  </si>
  <si>
    <t>D41</t>
  </si>
  <si>
    <t>Updated AGIC values based on IOU data request</t>
  </si>
  <si>
    <t>D5</t>
  </si>
  <si>
    <t>Updated gas transportation marginal costs based on IOU data request</t>
  </si>
  <si>
    <t>C31</t>
  </si>
  <si>
    <t>Updated gas transportation allocation based on IOU data request</t>
  </si>
  <si>
    <t>Output</t>
  </si>
  <si>
    <t>C5-13</t>
  </si>
  <si>
    <t>Fixed bug that incorrectly referenced utility and usage in labels</t>
  </si>
  <si>
    <t>No change</t>
  </si>
  <si>
    <t>D24</t>
  </si>
  <si>
    <t>Scale AQA based on the ratio between the appliance NOx emission rates and the maximum NOx emission rates</t>
  </si>
  <si>
    <t>SCT Only</t>
  </si>
  <si>
    <t>D32</t>
  </si>
  <si>
    <t>Set NOx emission costs to zero during SCT because AQA already includes NOx emission impact</t>
  </si>
  <si>
    <t>Should have impacted SCT only except that it introduced an error in TRC NOx value which has a large impact.</t>
  </si>
  <si>
    <t>Update PG&amp;E BB gas commodity rates</t>
  </si>
  <si>
    <t>PG&amp;E Only, TRC &amp; SCT. Small Impact</t>
  </si>
  <si>
    <t>C13</t>
  </si>
  <si>
    <t>Changed IOU WACC from SCE to SoCalGas</t>
  </si>
  <si>
    <t>7.3% to 7.18% Nominal WACC for TRC. Small Impact</t>
  </si>
  <si>
    <t>D17</t>
  </si>
  <si>
    <t>Updated SCT discount rate to be 5.06% nominal (equivalent to 3% real)</t>
  </si>
  <si>
    <t>3% to 5.06% Nominal WACC for SCT. Small Impact</t>
  </si>
  <si>
    <t>Version v1b October</t>
  </si>
  <si>
    <t>Row 32</t>
  </si>
  <si>
    <t>Updated NOx values to pull from the TRC NOx values provided above when the TRC is selected (rather than pulling from the SCT Air Quality Adder values)</t>
  </si>
  <si>
    <t>Correcting error introduced in v1b</t>
  </si>
  <si>
    <t>Updated methane leakage adder to properly reflect any change in the user-selected GWP time horizon</t>
  </si>
  <si>
    <t>Adding toggle. Note that toggle then should be set to 100-yr to reflect default values</t>
  </si>
  <si>
    <t>D18</t>
  </si>
  <si>
    <t>Updated Nominal Discount Rate table to more clearly indicate how the Nominal SCT Discount rate is calculated using the Real SCT Discount rate as an input</t>
  </si>
  <si>
    <t>E40</t>
  </si>
  <si>
    <t>Updated AGIC values based on IOU data request response (SCE and SDG&amp;E only for now)</t>
  </si>
  <si>
    <t>D16, G16</t>
  </si>
  <si>
    <t>Updated calculation structure and labeling for reference year</t>
  </si>
  <si>
    <t>F6, P6, T6, T21</t>
  </si>
  <si>
    <t>C90-91</t>
  </si>
  <si>
    <t>D6</t>
  </si>
  <si>
    <t>Updated Deflator structure to flexibly accommodate alternate year inputs</t>
  </si>
  <si>
    <t>C14-16</t>
  </si>
  <si>
    <t>Updated utility authorized Rate of Return to reflect most recent CPUC decision</t>
  </si>
  <si>
    <t>Emissions</t>
  </si>
  <si>
    <t>C17</t>
  </si>
  <si>
    <t>All</t>
  </si>
  <si>
    <t>General formatting updates</t>
  </si>
  <si>
    <t>D40</t>
  </si>
  <si>
    <t>Updated PG&amp;E AGIC values based on IOU data request response</t>
  </si>
  <si>
    <t>PG&amp;E noted that the significantly lower greenfield service extension costs are due to applicants completing the trenching themselves</t>
  </si>
  <si>
    <t>Annual Cost by Component ($/Therm)</t>
  </si>
  <si>
    <t>100-yr, consistent with the recommendation of CARB</t>
  </si>
  <si>
    <t>Annual Simple Average</t>
  </si>
  <si>
    <t>DE</t>
  </si>
  <si>
    <t>CO2 average cost per metric ton (Nominal $) aligned with Electric Model GHG value (TRC- RESOLVE Shadow Prices + Cap-and-Invest)</t>
  </si>
  <si>
    <t>2026 ACC Electric Model</t>
  </si>
  <si>
    <t>Emissions tab</t>
  </si>
  <si>
    <t>CPUC/E3</t>
  </si>
  <si>
    <t>https://www.cpuc.ca.gov/dercosteffectiveness</t>
  </si>
  <si>
    <t>D19</t>
  </si>
  <si>
    <t>Updated TRC CO2 value to align with Electric Model TRC GHG value (GHG Adder + Cap + Invest)</t>
  </si>
  <si>
    <t>Average Commodity Cost</t>
  </si>
  <si>
    <t>Added Average Commodity cost to display of intermediate values (with accompanying chart)</t>
  </si>
  <si>
    <t>Updated gas price forecasts to include 2055 and updated dependents</t>
  </si>
  <si>
    <t>Updated gas price references to reflect 2026-2055</t>
  </si>
  <si>
    <t>Updated GDP Deflator to include 2055 based on formula</t>
  </si>
  <si>
    <t>Extended emissions to include 2055 (and updated dependents on Dashboard tab)</t>
  </si>
  <si>
    <t>Selection applies for SCT only</t>
  </si>
  <si>
    <t>To be published 9/4/2026</t>
  </si>
  <si>
    <t>Updated output time horizon to reflect 2026-2055</t>
  </si>
  <si>
    <t>NOx (lbs / Therm)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</si>
</sst>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0.00_);[Red]\(&quot;$&quot;#,##0.00\)"/>
    <numFmt numFmtId="44" formatCode="_(&quot;$&quot;* #,##0.00_);_(&quot;$&quot;* \(#,##0.00\);_(&quot;$&quot;* &quot;-&quot;??_);_(@_)"/>
    <numFmt numFmtId="43" formatCode="_(* #,##0.00_);_(* \(#,##0.00\);_(* &quot;-&quot;??_);_(@_)"/>
    <numFmt numFmtId="164" formatCode="0.0000%"/>
    <numFmt numFmtId="165" formatCode="_(* #,##0_);_(* \(#,##0\);_(* &quot;-&quot;??_);_(@_)"/>
    <numFmt numFmtId="166" formatCode="0.0000"/>
    <numFmt numFmtId="167" formatCode="_(&quot;$&quot;* #,##0.00000_);_(&quot;$&quot;* \(#,##0.00000\);_(&quot;$&quot;* &quot;-&quot;??_);_(@_)"/>
    <numFmt numFmtId="168" formatCode="_(&quot;$&quot;* #,##0_);_(&quot;$&quot;* \(#,##0\);_(&quot;$&quot;* &quot;-&quot;??_);_(@_)"/>
    <numFmt numFmtId="169" formatCode="&quot;$&quot;#,##0.00"/>
    <numFmt numFmtId="170" formatCode="mmmm"/>
    <numFmt numFmtId="171" formatCode="0.0%"/>
    <numFmt numFmtId="172" formatCode="[$-409]mmm\-yy;@"/>
    <numFmt numFmtId="173" formatCode="_(&quot;$&quot;* #,##0.000_);_(&quot;$&quot;* \(#,##0.000\);_(&quot;$&quot;* &quot;-&quot;???_);_(@_)"/>
    <numFmt numFmtId="174" formatCode="0.000"/>
    <numFmt numFmtId="175" formatCode="0.000000"/>
    <numFmt numFmtId="176" formatCode="[$-409]mmmm\ d\,\ yyyy;@"/>
    <numFmt numFmtId="177" formatCode="0.00000"/>
    <numFmt numFmtId="178" formatCode="&quot;$&quot;#,##0.000"/>
    <numFmt numFmtId="179" formatCode="_(* #,##0.000_);_(* \(#,##0.000\);_(* &quot;-&quot;??_);_(@_)"/>
    <numFmt numFmtId="180" formatCode="m/d/yyyy\ hh:mm"/>
  </numFmts>
  <fonts count="83">
    <font>
      <sz val="9"/>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0"/>
      <name val="Arial"/>
      <family val="2"/>
    </font>
    <font>
      <sz val="10"/>
      <name val="Arial"/>
      <family val="2"/>
    </font>
    <font>
      <sz val="8"/>
      <name val="Arial"/>
      <family val="2"/>
    </font>
    <font>
      <b/>
      <sz val="10"/>
      <name val="Aptos Narrow"/>
      <family val="2"/>
      <scheme val="minor"/>
    </font>
    <font>
      <sz val="10"/>
      <name val="Aptos Narrow"/>
      <family val="2"/>
      <scheme val="minor"/>
    </font>
    <font>
      <sz val="10"/>
      <color theme="1"/>
      <name val="Aptos Narrow"/>
      <family val="2"/>
      <scheme val="minor"/>
    </font>
    <font>
      <sz val="10"/>
      <name val="Helv"/>
    </font>
    <font>
      <sz val="7"/>
      <name val="Small Fonts"/>
      <family val="2"/>
    </font>
    <font>
      <sz val="7"/>
      <name val="Small Fonts"/>
      <family val="2"/>
    </font>
    <font>
      <sz val="11"/>
      <color theme="0"/>
      <name val="Aptos Narrow"/>
      <family val="2"/>
      <scheme val="minor"/>
    </font>
    <font>
      <sz val="11"/>
      <name val="Calibri"/>
      <family val="2"/>
    </font>
    <font>
      <b/>
      <sz val="11"/>
      <color theme="0"/>
      <name val="Aptos Narrow"/>
      <family val="2"/>
      <scheme val="minor"/>
    </font>
    <font>
      <sz val="11"/>
      <name val="Aptos Narrow"/>
      <family val="2"/>
      <scheme val="minor"/>
    </font>
    <font>
      <sz val="8"/>
      <name val="Calibri"/>
      <family val="2"/>
    </font>
    <font>
      <b/>
      <sz val="11"/>
      <color theme="1"/>
      <name val="Aptos Narrow"/>
      <family val="2"/>
      <scheme val="minor"/>
    </font>
    <font>
      <i/>
      <sz val="11"/>
      <color theme="0" tint="-0.249977111117893"/>
      <name val="Aptos Narrow"/>
      <family val="2"/>
      <scheme val="minor"/>
    </font>
    <font>
      <sz val="11"/>
      <color rgb="FF000000"/>
      <name val="Aptos Narrow"/>
      <family val="2"/>
      <scheme val="minor"/>
    </font>
    <font>
      <i/>
      <sz val="11"/>
      <name val="Aptos Narrow"/>
      <family val="2"/>
      <scheme val="minor"/>
    </font>
    <font>
      <sz val="11"/>
      <color theme="2"/>
      <name val="Aptos Narrow"/>
      <family val="2"/>
      <scheme val="minor"/>
    </font>
    <font>
      <sz val="11"/>
      <color rgb="FFFF0000"/>
      <name val="Aptos Narrow"/>
      <family val="2"/>
      <scheme val="minor"/>
    </font>
    <font>
      <sz val="11"/>
      <color indexed="8"/>
      <name val="Calibri"/>
      <family val="2"/>
    </font>
    <font>
      <b/>
      <sz val="16"/>
      <color theme="1"/>
      <name val="Aptos Narrow"/>
      <family val="2"/>
      <scheme val="minor"/>
    </font>
    <font>
      <u/>
      <sz val="11"/>
      <color theme="10"/>
      <name val="Aptos Narrow"/>
      <family val="2"/>
      <scheme val="minor"/>
    </font>
    <font>
      <sz val="10"/>
      <color rgb="FF000000"/>
      <name val="ITC Bookman"/>
    </font>
    <font>
      <b/>
      <sz val="20"/>
      <name val="Aptos Narrow"/>
      <family val="2"/>
      <scheme val="minor"/>
    </font>
    <font>
      <b/>
      <sz val="12"/>
      <name val="Aptos Narrow"/>
      <family val="2"/>
      <scheme val="minor"/>
    </font>
    <font>
      <i/>
      <sz val="11"/>
      <color theme="0"/>
      <name val="Aptos Narrow"/>
      <family val="2"/>
      <scheme val="minor"/>
    </font>
    <font>
      <b/>
      <sz val="11"/>
      <name val="Aptos Narrow"/>
      <family val="2"/>
      <scheme val="minor"/>
    </font>
    <font>
      <b/>
      <u/>
      <sz val="11"/>
      <color indexed="9"/>
      <name val="Aptos Narrow"/>
      <family val="2"/>
      <scheme val="minor"/>
    </font>
    <font>
      <b/>
      <sz val="11"/>
      <color rgb="FFFF0000"/>
      <name val="Aptos Narrow"/>
      <family val="2"/>
      <scheme val="minor"/>
    </font>
    <font>
      <b/>
      <i/>
      <sz val="11"/>
      <name val="Aptos Narrow"/>
      <family val="2"/>
      <scheme val="minor"/>
    </font>
    <font>
      <i/>
      <sz val="11"/>
      <color theme="0" tint="-0.499984740745262"/>
      <name val="Aptos Narrow"/>
      <family val="2"/>
      <scheme val="minor"/>
    </font>
    <font>
      <i/>
      <sz val="11"/>
      <color theme="1"/>
      <name val="Aptos Narrow"/>
      <family val="2"/>
      <scheme val="minor"/>
    </font>
    <font>
      <i/>
      <sz val="11"/>
      <color rgb="FFFF0000"/>
      <name val="Aptos Narrow"/>
      <family val="2"/>
      <scheme val="minor"/>
    </font>
    <font>
      <b/>
      <sz val="11"/>
      <color rgb="FF000000"/>
      <name val="Aptos Narrow"/>
      <family val="2"/>
      <scheme val="minor"/>
    </font>
    <font>
      <sz val="11"/>
      <color theme="2" tint="-0.499984740745262"/>
      <name val="Aptos Narrow"/>
      <family val="2"/>
      <scheme val="minor"/>
    </font>
    <font>
      <b/>
      <sz val="11"/>
      <color indexed="9"/>
      <name val="Aptos Narrow"/>
      <family val="2"/>
      <scheme val="minor"/>
    </font>
    <font>
      <sz val="11"/>
      <color rgb="FF0000FF"/>
      <name val="Aptos Narrow"/>
      <family val="2"/>
      <scheme val="minor"/>
    </font>
    <font>
      <i/>
      <sz val="10"/>
      <name val="Calibri"/>
      <family val="2"/>
    </font>
    <font>
      <sz val="9"/>
      <color rgb="FF9C0006"/>
      <name val="Aptos Narrow"/>
      <family val="2"/>
      <scheme val="minor"/>
    </font>
    <font>
      <i/>
      <sz val="9"/>
      <name val="Aptos Narrow"/>
      <family val="2"/>
      <scheme val="minor"/>
    </font>
    <font>
      <b/>
      <sz val="9"/>
      <color theme="0"/>
      <name val="Aptos Narrow"/>
      <family val="2"/>
      <scheme val="minor"/>
    </font>
    <font>
      <sz val="9"/>
      <color theme="1"/>
      <name val="Arial"/>
      <family val="2"/>
    </font>
    <font>
      <sz val="9"/>
      <name val="Aptos Narrow"/>
      <family val="2"/>
      <scheme val="minor"/>
    </font>
    <font>
      <i/>
      <sz val="9"/>
      <color theme="1" tint="0.499984740745262"/>
      <name val="Aptos Narrow"/>
      <family val="2"/>
      <scheme val="minor"/>
    </font>
    <font>
      <sz val="9"/>
      <color rgb="FF006100"/>
      <name val="Aptos Narrow"/>
      <family val="2"/>
      <scheme val="minor"/>
    </font>
    <font>
      <b/>
      <sz val="14"/>
      <name val="Aptos Display"/>
      <family val="2"/>
      <scheme val="major"/>
    </font>
    <font>
      <b/>
      <sz val="13"/>
      <color theme="3"/>
      <name val="Aptos Display"/>
      <family val="2"/>
      <scheme val="major"/>
    </font>
    <font>
      <b/>
      <sz val="11"/>
      <color theme="3"/>
      <name val="Aptos Display"/>
      <family val="2"/>
      <scheme val="major"/>
    </font>
    <font>
      <b/>
      <i/>
      <sz val="10"/>
      <color theme="3"/>
      <name val="Aptos Display"/>
      <family val="2"/>
      <scheme val="major"/>
    </font>
    <font>
      <b/>
      <i/>
      <u/>
      <sz val="9"/>
      <color theme="9"/>
      <name val="Aptos Narrow"/>
      <family val="2"/>
      <scheme val="minor"/>
    </font>
    <font>
      <sz val="9"/>
      <color rgb="FFE85F31"/>
      <name val="Aptos Narrow"/>
      <family val="2"/>
      <scheme val="minor"/>
    </font>
    <font>
      <sz val="9"/>
      <color rgb="FF9C5700"/>
      <name val="Aptos Narrow"/>
      <family val="2"/>
      <scheme val="minor"/>
    </font>
    <font>
      <sz val="9"/>
      <color theme="1"/>
      <name val="Aptos Narrow"/>
      <family val="2"/>
      <scheme val="minor"/>
    </font>
    <font>
      <b/>
      <i/>
      <sz val="9"/>
      <color theme="1"/>
      <name val="Aptos Narrow"/>
      <family val="2"/>
      <scheme val="minor"/>
    </font>
    <font>
      <b/>
      <i/>
      <u val="double"/>
      <sz val="9"/>
      <color theme="0"/>
      <name val="Aptos Narrow"/>
      <family val="2"/>
      <scheme val="minor"/>
    </font>
    <font>
      <b/>
      <sz val="10"/>
      <color theme="0"/>
      <name val="Aptos Display"/>
      <family val="2"/>
      <scheme val="major"/>
    </font>
    <font>
      <sz val="9"/>
      <color theme="1"/>
      <name val="Aptos Display"/>
      <family val="2"/>
      <scheme val="major"/>
    </font>
    <font>
      <b/>
      <sz val="22"/>
      <color theme="3"/>
      <name val="Aptos Display"/>
      <family val="2"/>
      <scheme val="major"/>
    </font>
    <font>
      <b/>
      <sz val="9"/>
      <color theme="1"/>
      <name val="Aptos Narrow"/>
      <family val="2"/>
      <scheme val="minor"/>
    </font>
    <font>
      <b/>
      <i/>
      <sz val="9"/>
      <color theme="6" tint="-0.24994659260841701"/>
      <name val="Aptos Narrow"/>
      <family val="2"/>
      <scheme val="minor"/>
    </font>
    <font>
      <b/>
      <sz val="11"/>
      <name val="Aptos Narrow"/>
      <family val="2"/>
    </font>
    <font>
      <sz val="11"/>
      <name val="Aptos Narrow"/>
      <family val="2"/>
    </font>
    <font>
      <sz val="11"/>
      <color theme="0"/>
      <name val="Aptos Narrow"/>
      <family val="2"/>
    </font>
    <font>
      <i/>
      <sz val="11"/>
      <name val="Aptos Narrow"/>
      <family val="2"/>
    </font>
    <font>
      <sz val="11"/>
      <color rgb="FFFF0000"/>
      <name val="Aptos Narrow"/>
      <family val="2"/>
    </font>
    <font>
      <sz val="10"/>
      <color theme="0"/>
      <name val="Aptos Narrow"/>
      <family val="2"/>
      <scheme val="minor"/>
    </font>
    <font>
      <b/>
      <i/>
      <sz val="11"/>
      <color theme="1"/>
      <name val="Aptos Narrow"/>
      <family val="2"/>
      <scheme val="minor"/>
    </font>
    <font>
      <b/>
      <i/>
      <u/>
      <sz val="9"/>
      <color theme="9"/>
      <name val="Aptos Narrow"/>
      <family val="2"/>
    </font>
    <font>
      <u/>
      <sz val="11"/>
      <color theme="10"/>
      <name val="Aptos Narrow"/>
      <family val="2"/>
    </font>
    <font>
      <sz val="11"/>
      <color theme="4" tint="0.39997558519241921"/>
      <name val="Aptos Narrow"/>
      <family val="2"/>
    </font>
    <font>
      <sz val="11"/>
      <color theme="0" tint="-0.34998626667073579"/>
      <name val="Aptos Narrow"/>
      <family val="2"/>
    </font>
    <font>
      <b/>
      <sz val="11"/>
      <color theme="1"/>
      <name val="Aptos Narrow"/>
      <family val="2"/>
    </font>
    <font>
      <i/>
      <sz val="11"/>
      <color theme="1"/>
      <name val="Aptos Narrow"/>
      <family val="2"/>
    </font>
    <font>
      <sz val="11"/>
      <color theme="1"/>
      <name val="Aptos Narrow"/>
      <family val="2"/>
    </font>
    <font>
      <b/>
      <u/>
      <sz val="11"/>
      <color indexed="9"/>
      <name val="Aptos Narrow"/>
      <family val="2"/>
    </font>
    <font>
      <i/>
      <sz val="11"/>
      <color theme="0" tint="-0.499984740745262"/>
      <name val="Aptos Narrow"/>
      <family val="2"/>
    </font>
    <font>
      <i/>
      <sz val="11"/>
      <color theme="1" tint="0.499984740745262"/>
      <name val="Aptos Narrow"/>
      <family val="2"/>
      <scheme val="minor"/>
    </font>
    <font>
      <b/>
      <sz val="10"/>
      <color theme="1"/>
      <name val="Aptos Narrow"/>
      <family val="2"/>
      <scheme val="minor"/>
    </font>
  </fonts>
  <fills count="52">
    <fill>
      <patternFill patternType="none"/>
    </fill>
    <fill>
      <patternFill patternType="gray125"/>
    </fill>
    <fill>
      <patternFill patternType="solid">
        <fgColor rgb="FFFFFFCC"/>
      </patternFill>
    </fill>
    <fill>
      <patternFill patternType="solid">
        <fgColor theme="4"/>
      </patternFill>
    </fill>
    <fill>
      <patternFill patternType="solid">
        <fgColor theme="5" tint="0.59999389629810485"/>
        <bgColor indexed="65"/>
      </patternFill>
    </fill>
    <fill>
      <patternFill patternType="solid">
        <fgColor theme="5" tint="0.79998168889431442"/>
        <bgColor indexed="65"/>
      </patternFill>
    </fill>
    <fill>
      <patternFill patternType="solid">
        <fgColor theme="4"/>
        <bgColor indexed="64"/>
      </patternFill>
    </fill>
    <fill>
      <patternFill patternType="solid">
        <fgColor theme="0" tint="-0.14999847407452621"/>
        <bgColor indexed="64"/>
      </patternFill>
    </fill>
    <fill>
      <patternFill patternType="solid">
        <fgColor rgb="FF00507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99CCFF"/>
        <bgColor indexed="64"/>
      </patternFill>
    </fill>
    <fill>
      <patternFill patternType="solid">
        <fgColor theme="5" tint="0.59999389629810485"/>
        <bgColor indexed="64"/>
      </patternFill>
    </fill>
    <fill>
      <patternFill patternType="solid">
        <fgColor rgb="FFF2F2F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3" tint="0.79998168889431442"/>
        <bgColor indexed="64"/>
      </patternFill>
    </fill>
    <fill>
      <patternFill patternType="solid">
        <fgColor theme="1" tint="0.34998626667073579"/>
        <bgColor indexed="64"/>
      </patternFill>
    </fill>
    <fill>
      <patternFill patternType="solid">
        <fgColor theme="0" tint="-0.24994659260841701"/>
        <bgColor indexed="64"/>
      </patternFill>
    </fill>
    <fill>
      <patternFill patternType="solid">
        <fgColor theme="8" tint="0.59999389629810485"/>
        <bgColor indexed="64"/>
      </patternFill>
    </fill>
    <fill>
      <patternFill patternType="solid">
        <fgColor rgb="FFFFFFCC"/>
        <bgColor indexed="64"/>
      </patternFill>
    </fill>
    <fill>
      <patternFill patternType="solid">
        <fgColor theme="5" tint="0.39994506668294322"/>
        <bgColor indexed="64"/>
      </patternFill>
    </fill>
    <fill>
      <patternFill patternType="solid">
        <fgColor rgb="FF7030A0"/>
        <bgColor indexed="64"/>
      </patternFill>
    </fill>
    <fill>
      <patternFill patternType="solid">
        <fgColor theme="3"/>
        <bgColor indexed="64"/>
      </patternFill>
    </fill>
    <fill>
      <patternFill patternType="solid">
        <fgColor theme="4" tint="0.59996337778862885"/>
        <bgColor indexed="64"/>
      </patternFill>
    </fill>
    <fill>
      <patternFill patternType="solid">
        <fgColor theme="2"/>
        <bgColor indexed="64"/>
      </patternFill>
    </fill>
    <fill>
      <patternFill patternType="solid">
        <fgColor theme="0" tint="-0.499984740745262"/>
        <bgColor indexed="64"/>
      </patternFill>
    </fill>
  </fills>
  <borders count="3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style="thin">
        <color rgb="FF7F7F7F"/>
      </right>
      <top/>
      <bottom style="thin">
        <color rgb="FF7F7F7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theme="3"/>
      </bottom>
      <diagonal/>
    </border>
    <border>
      <left/>
      <right/>
      <top/>
      <bottom style="medium">
        <color theme="4"/>
      </bottom>
      <diagonal/>
    </border>
    <border>
      <left/>
      <right/>
      <top/>
      <bottom style="medium">
        <color theme="3" tint="0.39994506668294322"/>
      </bottom>
      <diagonal/>
    </border>
    <border>
      <left style="thin">
        <color theme="3"/>
      </left>
      <right style="thin">
        <color theme="3"/>
      </right>
      <top style="thin">
        <color theme="3"/>
      </top>
      <bottom style="thin">
        <color theme="3"/>
      </bottom>
      <diagonal/>
    </border>
    <border>
      <left/>
      <right/>
      <top style="thin">
        <color theme="3"/>
      </top>
      <bottom style="double">
        <color theme="3"/>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s>
  <cellStyleXfs count="88">
    <xf numFmtId="0" fontId="0" fillId="0" borderId="0">
      <alignment vertical="center"/>
    </xf>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14" fillId="0" borderId="0"/>
    <xf numFmtId="0" fontId="10" fillId="0" borderId="0" applyNumberFormat="0" applyFill="0" applyBorder="0" applyAlignment="0" applyProtection="0"/>
    <xf numFmtId="0" fontId="5" fillId="0" borderId="0" applyNumberFormat="0" applyFill="0" applyBorder="0" applyAlignment="0" applyProtection="0"/>
    <xf numFmtId="8" fontId="10" fillId="0" borderId="0" applyFont="0" applyFill="0" applyBorder="0" applyAlignment="0" applyProtection="0"/>
    <xf numFmtId="37" fontId="11" fillId="0" borderId="0"/>
    <xf numFmtId="0" fontId="4" fillId="0" borderId="0" applyNumberFormat="0" applyFill="0" applyBorder="0" applyAlignment="0" applyProtection="0"/>
    <xf numFmtId="37" fontId="12" fillId="0" borderId="0"/>
    <xf numFmtId="0" fontId="58" fillId="46" borderId="21" applyNumberFormat="0">
      <alignment vertical="center"/>
    </xf>
    <xf numFmtId="0" fontId="13" fillId="3" borderId="0" applyNumberFormat="0" applyBorder="0" applyAlignment="0" applyProtection="0"/>
    <xf numFmtId="0" fontId="4" fillId="0" borderId="0"/>
    <xf numFmtId="0" fontId="54" fillId="10" borderId="21" applyNumberFormat="0" applyProtection="0">
      <alignment vertical="center"/>
    </xf>
    <xf numFmtId="0" fontId="3" fillId="0" borderId="0"/>
    <xf numFmtId="0" fontId="62" fillId="0" borderId="27" applyNumberFormat="0" applyAlignment="0"/>
    <xf numFmtId="0" fontId="50" fillId="0" borderId="11" applyNumberFormat="0" applyAlignment="0"/>
    <xf numFmtId="0" fontId="51" fillId="0" borderId="27" applyNumberFormat="0" applyAlignment="0">
      <alignment vertical="center"/>
    </xf>
    <xf numFmtId="0" fontId="52" fillId="0" borderId="28" applyNumberFormat="0" applyAlignment="0"/>
    <xf numFmtId="0" fontId="53" fillId="0" borderId="29" applyNumberFormat="0" applyAlignment="0"/>
    <xf numFmtId="0" fontId="49" fillId="15" borderId="0" applyNumberFormat="0" applyBorder="0" applyProtection="0">
      <alignment vertical="center"/>
    </xf>
    <xf numFmtId="0" fontId="43" fillId="16" borderId="0" applyNumberFormat="0" applyBorder="0" applyProtection="0">
      <alignment vertical="center"/>
    </xf>
    <xf numFmtId="0" fontId="56" fillId="17" borderId="0" applyNumberFormat="0" applyBorder="0" applyProtection="0">
      <alignment vertical="center"/>
    </xf>
    <xf numFmtId="0" fontId="47" fillId="45" borderId="21" applyNumberFormat="0">
      <alignment vertical="center"/>
    </xf>
    <xf numFmtId="0" fontId="44" fillId="40" borderId="21" applyNumberFormat="0">
      <alignment vertical="center"/>
    </xf>
    <xf numFmtId="0" fontId="44" fillId="9" borderId="21" applyNumberFormat="0">
      <alignment vertical="center"/>
    </xf>
    <xf numFmtId="0" fontId="55" fillId="0" borderId="18" applyNumberFormat="0">
      <alignment vertical="center"/>
    </xf>
    <xf numFmtId="0" fontId="45" fillId="18" borderId="19" applyNumberFormat="0">
      <alignment vertical="center"/>
    </xf>
    <xf numFmtId="0" fontId="64" fillId="0" borderId="0" applyNumberFormat="0" applyFill="0" applyBorder="0">
      <alignment vertical="center"/>
    </xf>
    <xf numFmtId="0" fontId="48" fillId="0" borderId="0" applyNumberFormat="0" applyFill="0" applyBorder="0" applyAlignment="0"/>
    <xf numFmtId="0" fontId="63" fillId="0" borderId="31" applyNumberFormat="0">
      <alignment vertical="center"/>
    </xf>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3"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3"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175" fontId="4" fillId="0" borderId="0">
      <alignment horizontal="left" wrapText="1"/>
    </xf>
    <xf numFmtId="0" fontId="2" fillId="0" borderId="0"/>
    <xf numFmtId="43" fontId="4" fillId="0" borderId="0" applyFont="0" applyFill="0" applyBorder="0" applyAlignment="0" applyProtection="0"/>
    <xf numFmtId="9" fontId="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0" fontId="15" fillId="6" borderId="20" applyNumberFormat="0" applyBorder="0">
      <alignment horizontal="center" vertical="center" wrapText="1"/>
    </xf>
    <xf numFmtId="0" fontId="9" fillId="40" borderId="21" applyNumberFormat="0">
      <alignment horizontal="center" vertical="center"/>
    </xf>
    <xf numFmtId="10" fontId="9" fillId="0" borderId="0" applyFont="0" applyFill="0" applyBorder="0" applyAlignment="0" applyProtection="0"/>
    <xf numFmtId="0" fontId="25" fillId="0" borderId="11"/>
    <xf numFmtId="43" fontId="9" fillId="0" borderId="0" applyFont="0" applyFill="0" applyBorder="0" applyAlignment="0" applyProtection="0"/>
    <xf numFmtId="9" fontId="9" fillId="0" borderId="0" applyFont="0" applyFill="0" applyBorder="0" applyAlignment="0" applyProtection="0"/>
    <xf numFmtId="0" fontId="9" fillId="0" borderId="0"/>
    <xf numFmtId="0" fontId="4" fillId="0" borderId="0"/>
    <xf numFmtId="0" fontId="26" fillId="0" borderId="0" applyNumberFormat="0" applyFill="0" applyBorder="0" applyAlignment="0" applyProtection="0"/>
    <xf numFmtId="0" fontId="27" fillId="0" borderId="0"/>
    <xf numFmtId="0" fontId="2" fillId="2" borderId="9" applyNumberFormat="0" applyFont="0" applyAlignment="0" applyProtection="0"/>
    <xf numFmtId="0" fontId="2" fillId="5" borderId="0" applyNumberFormat="0" applyBorder="0" applyAlignment="0" applyProtection="0"/>
    <xf numFmtId="0" fontId="2" fillId="4" borderId="0" applyNumberFormat="0" applyBorder="0" applyAlignment="0" applyProtection="0"/>
    <xf numFmtId="0" fontId="16" fillId="9" borderId="21" applyNumberFormat="0" applyAlignment="0"/>
    <xf numFmtId="0" fontId="44" fillId="43" borderId="21" applyNumberFormat="0">
      <alignment vertical="center"/>
    </xf>
    <xf numFmtId="180" fontId="46" fillId="0" borderId="0" applyFont="0" applyFill="0" applyBorder="0" applyProtection="0">
      <alignment vertical="center"/>
      <protection locked="0"/>
    </xf>
    <xf numFmtId="0" fontId="47" fillId="44" borderId="21" applyNumberFormat="0">
      <alignment vertical="center"/>
    </xf>
    <xf numFmtId="0" fontId="59" fillId="47" borderId="21" applyNumberFormat="0" applyAlignment="0" applyProtection="0">
      <alignment vertical="center"/>
    </xf>
    <xf numFmtId="0" fontId="60" fillId="48" borderId="30" applyNumberFormat="0">
      <alignment vertical="center"/>
    </xf>
    <xf numFmtId="0" fontId="57" fillId="49" borderId="21" applyNumberFormat="0">
      <alignment vertical="center"/>
    </xf>
    <xf numFmtId="0" fontId="61" fillId="50" borderId="21" applyAlignment="0">
      <alignment horizontal="left"/>
    </xf>
    <xf numFmtId="0" fontId="47" fillId="0" borderId="21" applyNumberFormat="0">
      <alignment vertical="center"/>
    </xf>
    <xf numFmtId="10" fontId="16" fillId="45" borderId="21" applyNumberFormat="0" applyProtection="0">
      <alignment horizontal="center" vertical="center"/>
    </xf>
  </cellStyleXfs>
  <cellXfs count="276">
    <xf numFmtId="0" fontId="0" fillId="0" borderId="0" xfId="0">
      <alignment vertical="center"/>
    </xf>
    <xf numFmtId="0" fontId="16" fillId="0" borderId="0" xfId="0" applyFont="1" applyAlignment="1">
      <alignment horizontal="center"/>
    </xf>
    <xf numFmtId="0" fontId="16" fillId="0" borderId="7" xfId="16" applyFont="1" applyBorder="1" applyAlignment="1">
      <alignment horizontal="right"/>
    </xf>
    <xf numFmtId="0" fontId="16" fillId="14" borderId="7" xfId="16" applyFont="1" applyFill="1" applyBorder="1" applyAlignment="1">
      <alignment wrapText="1"/>
    </xf>
    <xf numFmtId="0" fontId="19" fillId="0" borderId="0" xfId="16" applyFont="1"/>
    <xf numFmtId="0" fontId="20" fillId="0" borderId="0" xfId="0" applyFont="1">
      <alignment vertical="center"/>
    </xf>
    <xf numFmtId="0" fontId="22" fillId="0" borderId="0" xfId="0" applyFont="1" applyAlignment="1">
      <alignment horizontal="center"/>
    </xf>
    <xf numFmtId="0" fontId="28" fillId="14" borderId="0" xfId="0" applyFont="1" applyFill="1">
      <alignment vertical="center"/>
    </xf>
    <xf numFmtId="0" fontId="8" fillId="14" borderId="0" xfId="0" applyFont="1" applyFill="1">
      <alignment vertical="center"/>
    </xf>
    <xf numFmtId="0" fontId="29" fillId="14" borderId="0" xfId="0" applyFont="1" applyFill="1" applyAlignment="1">
      <alignment horizontal="left"/>
    </xf>
    <xf numFmtId="0" fontId="7" fillId="14" borderId="0" xfId="0" applyFont="1" applyFill="1" applyAlignment="1">
      <alignment horizontal="left"/>
    </xf>
    <xf numFmtId="0" fontId="0" fillId="14" borderId="0" xfId="0" applyFill="1">
      <alignment vertical="center"/>
    </xf>
    <xf numFmtId="0" fontId="15" fillId="0" borderId="0" xfId="13" applyFont="1" applyFill="1"/>
    <xf numFmtId="0" fontId="16" fillId="0" borderId="0" xfId="13" applyFont="1" applyFill="1"/>
    <xf numFmtId="0" fontId="21" fillId="0" borderId="0" xfId="13" applyFont="1" applyFill="1"/>
    <xf numFmtId="0" fontId="30" fillId="0" borderId="0" xfId="13" applyFont="1" applyFill="1"/>
    <xf numFmtId="0" fontId="31" fillId="0" borderId="0" xfId="0" applyFont="1" applyAlignment="1">
      <alignment horizontal="right" vertical="center"/>
    </xf>
    <xf numFmtId="0" fontId="16" fillId="0" borderId="0" xfId="0" applyFont="1" applyAlignment="1">
      <alignment horizontal="right"/>
    </xf>
    <xf numFmtId="0" fontId="32" fillId="0" borderId="0" xfId="0" applyFont="1">
      <alignment vertical="center"/>
    </xf>
    <xf numFmtId="0" fontId="16" fillId="0" borderId="0" xfId="0" applyFont="1">
      <alignment vertical="center"/>
    </xf>
    <xf numFmtId="0" fontId="23" fillId="0" borderId="0" xfId="0" applyFont="1">
      <alignment vertical="center"/>
    </xf>
    <xf numFmtId="0" fontId="33" fillId="14" borderId="7" xfId="0" applyFont="1" applyFill="1" applyBorder="1">
      <alignment vertical="center"/>
    </xf>
    <xf numFmtId="9" fontId="16" fillId="0" borderId="0" xfId="3" applyFont="1" applyFill="1" applyBorder="1"/>
    <xf numFmtId="0" fontId="31" fillId="0" borderId="0" xfId="5" applyFont="1"/>
    <xf numFmtId="0" fontId="16" fillId="0" borderId="0" xfId="0" applyFont="1" applyAlignment="1">
      <alignment horizontal="right" wrapText="1"/>
    </xf>
    <xf numFmtId="0" fontId="16" fillId="0" borderId="0" xfId="0" applyFont="1" applyAlignment="1">
      <alignment horizontal="left"/>
    </xf>
    <xf numFmtId="166" fontId="16" fillId="0" borderId="0" xfId="0" applyNumberFormat="1" applyFont="1" applyAlignment="1">
      <alignment horizontal="center"/>
    </xf>
    <xf numFmtId="164" fontId="16" fillId="0" borderId="0" xfId="3" applyNumberFormat="1" applyFont="1" applyFill="1" applyBorder="1" applyAlignment="1">
      <alignment horizontal="center"/>
    </xf>
    <xf numFmtId="44" fontId="16" fillId="0" borderId="0" xfId="2" applyFont="1" applyFill="1"/>
    <xf numFmtId="0" fontId="31" fillId="0" borderId="0" xfId="0" applyFont="1">
      <alignment vertical="center"/>
    </xf>
    <xf numFmtId="0" fontId="16" fillId="0" borderId="0" xfId="0" applyFont="1" applyAlignment="1">
      <alignment wrapText="1"/>
    </xf>
    <xf numFmtId="43" fontId="16" fillId="0" borderId="0" xfId="0" applyNumberFormat="1" applyFont="1">
      <alignment vertical="center"/>
    </xf>
    <xf numFmtId="169" fontId="16" fillId="0" borderId="0" xfId="0" applyNumberFormat="1" applyFont="1">
      <alignment vertical="center"/>
    </xf>
    <xf numFmtId="167" fontId="16" fillId="0" borderId="0" xfId="0" applyNumberFormat="1" applyFont="1">
      <alignment vertical="center"/>
    </xf>
    <xf numFmtId="0" fontId="34" fillId="0" borderId="0" xfId="1" applyNumberFormat="1" applyFont="1" applyFill="1" applyBorder="1"/>
    <xf numFmtId="0" fontId="16" fillId="10" borderId="7" xfId="0" applyFont="1" applyFill="1" applyBorder="1">
      <alignment vertical="center"/>
    </xf>
    <xf numFmtId="0" fontId="31" fillId="0" borderId="0" xfId="0" applyFont="1" applyAlignment="1">
      <alignment horizontal="left"/>
    </xf>
    <xf numFmtId="0" fontId="21" fillId="0" borderId="0" xfId="0" applyFont="1">
      <alignment vertical="center"/>
    </xf>
    <xf numFmtId="171" fontId="16" fillId="0" borderId="0" xfId="3" applyNumberFormat="1" applyFont="1" applyFill="1" applyBorder="1" applyAlignment="1">
      <alignment horizontal="center" vertical="center"/>
    </xf>
    <xf numFmtId="8" fontId="16" fillId="0" borderId="0" xfId="0" applyNumberFormat="1" applyFont="1">
      <alignment vertical="center"/>
    </xf>
    <xf numFmtId="0" fontId="35" fillId="0" borderId="0" xfId="0" applyFont="1">
      <alignment vertical="center"/>
    </xf>
    <xf numFmtId="0" fontId="35" fillId="0" borderId="0" xfId="0" applyFont="1" applyAlignment="1">
      <alignment horizontal="left"/>
    </xf>
    <xf numFmtId="0" fontId="35" fillId="0" borderId="0" xfId="13" applyFont="1" applyFill="1" applyAlignment="1">
      <alignment horizontal="left" wrapText="1"/>
    </xf>
    <xf numFmtId="0" fontId="35" fillId="0" borderId="0" xfId="13" applyFont="1" applyFill="1" applyAlignment="1">
      <alignment horizontal="left"/>
    </xf>
    <xf numFmtId="0" fontId="35" fillId="0" borderId="0" xfId="0" applyFont="1" applyAlignment="1">
      <alignment wrapText="1"/>
    </xf>
    <xf numFmtId="165" fontId="35" fillId="0" borderId="0" xfId="1" applyNumberFormat="1" applyFont="1" applyFill="1" applyBorder="1"/>
    <xf numFmtId="0" fontId="18" fillId="0" borderId="0" xfId="0" applyFont="1">
      <alignment vertical="center"/>
    </xf>
    <xf numFmtId="0" fontId="16" fillId="0" borderId="7" xfId="0" applyFont="1" applyBorder="1" applyAlignment="1">
      <alignment horizontal="right"/>
    </xf>
    <xf numFmtId="0" fontId="16" fillId="0" borderId="10" xfId="0" applyFont="1" applyBorder="1" applyAlignment="1">
      <alignment horizontal="right"/>
    </xf>
    <xf numFmtId="0" fontId="16" fillId="0" borderId="23" xfId="0" applyFont="1" applyBorder="1" applyAlignment="1">
      <alignment horizontal="right"/>
    </xf>
    <xf numFmtId="0" fontId="16" fillId="0" borderId="24" xfId="0" applyFont="1" applyBorder="1" applyAlignment="1">
      <alignment horizontal="right"/>
    </xf>
    <xf numFmtId="0" fontId="16" fillId="0" borderId="0" xfId="5" applyFont="1"/>
    <xf numFmtId="0" fontId="16" fillId="10" borderId="7" xfId="0" applyFont="1" applyFill="1" applyBorder="1" applyAlignment="1">
      <alignment horizontal="center" vertical="center"/>
    </xf>
    <xf numFmtId="0" fontId="16" fillId="10" borderId="7" xfId="0" applyFont="1" applyFill="1" applyBorder="1" applyAlignment="1">
      <alignment horizontal="center"/>
    </xf>
    <xf numFmtId="0" fontId="16" fillId="10" borderId="22" xfId="25" applyFont="1" applyFill="1" applyBorder="1">
      <alignment vertical="center"/>
    </xf>
    <xf numFmtId="0" fontId="16" fillId="10" borderId="21" xfId="25" applyFont="1" applyFill="1">
      <alignment vertical="center"/>
    </xf>
    <xf numFmtId="0" fontId="16" fillId="10" borderId="7" xfId="25" applyFont="1" applyFill="1" applyBorder="1">
      <alignment vertical="center"/>
    </xf>
    <xf numFmtId="0" fontId="16" fillId="0" borderId="7" xfId="0" applyFont="1" applyBorder="1" applyAlignment="1">
      <alignment horizontal="center"/>
    </xf>
    <xf numFmtId="165" fontId="16" fillId="0" borderId="0" xfId="1" applyNumberFormat="1" applyFont="1"/>
    <xf numFmtId="171" fontId="33" fillId="0" borderId="0" xfId="3" applyNumberFormat="1" applyFont="1"/>
    <xf numFmtId="0" fontId="38" fillId="0" borderId="0" xfId="0" applyFont="1">
      <alignment vertical="center"/>
    </xf>
    <xf numFmtId="44" fontId="16" fillId="0" borderId="0" xfId="2" applyFont="1"/>
    <xf numFmtId="0" fontId="37" fillId="0" borderId="0" xfId="0" applyFont="1">
      <alignment vertical="center"/>
    </xf>
    <xf numFmtId="178" fontId="16" fillId="0" borderId="0" xfId="0" applyNumberFormat="1" applyFont="1">
      <alignment vertical="center"/>
    </xf>
    <xf numFmtId="0" fontId="16" fillId="0" borderId="10" xfId="0" applyFont="1" applyBorder="1">
      <alignment vertical="center"/>
    </xf>
    <xf numFmtId="0" fontId="16" fillId="0" borderId="23" xfId="0" applyFont="1" applyBorder="1">
      <alignment vertical="center"/>
    </xf>
    <xf numFmtId="0" fontId="16" fillId="0" borderId="24" xfId="0" applyFont="1" applyBorder="1">
      <alignment vertical="center"/>
    </xf>
    <xf numFmtId="0" fontId="31" fillId="0" borderId="23" xfId="0" applyFont="1" applyBorder="1">
      <alignment vertical="center"/>
    </xf>
    <xf numFmtId="0" fontId="31" fillId="0" borderId="24" xfId="0" applyFont="1" applyBorder="1">
      <alignment vertical="center"/>
    </xf>
    <xf numFmtId="0" fontId="39" fillId="0" borderId="7" xfId="0" applyFont="1" applyBorder="1" applyAlignment="1">
      <alignment horizontal="center"/>
    </xf>
    <xf numFmtId="169" fontId="16" fillId="9" borderId="7" xfId="2" applyNumberFormat="1" applyFont="1" applyFill="1" applyBorder="1" applyAlignment="1">
      <alignment horizontal="center" vertical="center"/>
    </xf>
    <xf numFmtId="9" fontId="16" fillId="0" borderId="7" xfId="3" applyFont="1" applyFill="1" applyBorder="1" applyAlignment="1">
      <alignment horizontal="right"/>
    </xf>
    <xf numFmtId="166" fontId="16" fillId="9" borderId="7" xfId="0" applyNumberFormat="1" applyFont="1" applyFill="1" applyBorder="1" applyAlignment="1">
      <alignment horizontal="center"/>
    </xf>
    <xf numFmtId="164" fontId="16" fillId="9" borderId="7" xfId="3" applyNumberFormat="1" applyFont="1" applyFill="1" applyBorder="1" applyAlignment="1">
      <alignment horizontal="center"/>
    </xf>
    <xf numFmtId="0" fontId="31" fillId="9" borderId="7" xfId="0" applyFont="1" applyFill="1" applyBorder="1">
      <alignment vertical="center"/>
    </xf>
    <xf numFmtId="0" fontId="16" fillId="9" borderId="7" xfId="0" applyFont="1" applyFill="1" applyBorder="1" applyAlignment="1">
      <alignment horizontal="center" vertical="center"/>
    </xf>
    <xf numFmtId="10" fontId="16" fillId="9" borderId="7" xfId="0" applyNumberFormat="1" applyFont="1" applyFill="1" applyBorder="1" applyAlignment="1">
      <alignment horizontal="center" vertical="center"/>
    </xf>
    <xf numFmtId="2" fontId="16" fillId="9" borderId="7" xfId="3" applyNumberFormat="1" applyFont="1" applyFill="1" applyBorder="1" applyAlignment="1">
      <alignment horizontal="center"/>
    </xf>
    <xf numFmtId="171" fontId="16" fillId="9" borderId="7" xfId="3" applyNumberFormat="1" applyFont="1" applyFill="1" applyBorder="1" applyAlignment="1">
      <alignment horizontal="center" vertical="center"/>
    </xf>
    <xf numFmtId="169" fontId="14" fillId="9" borderId="7" xfId="2" applyNumberFormat="1" applyFont="1" applyFill="1" applyBorder="1" applyAlignment="1">
      <alignment horizontal="center" vertical="center"/>
    </xf>
    <xf numFmtId="169" fontId="14" fillId="9" borderId="8" xfId="2" applyNumberFormat="1" applyFont="1" applyFill="1" applyBorder="1" applyAlignment="1">
      <alignment horizontal="center" vertical="center"/>
    </xf>
    <xf numFmtId="0" fontId="16" fillId="0" borderId="1" xfId="0" applyFont="1" applyBorder="1">
      <alignment vertical="center"/>
    </xf>
    <xf numFmtId="0" fontId="16" fillId="0" borderId="3" xfId="0" applyFont="1" applyBorder="1">
      <alignment vertical="center"/>
    </xf>
    <xf numFmtId="0" fontId="16" fillId="0" borderId="17" xfId="0" applyFont="1" applyBorder="1">
      <alignment vertical="center"/>
    </xf>
    <xf numFmtId="0" fontId="18" fillId="14" borderId="7" xfId="16" applyFont="1" applyFill="1" applyBorder="1" applyAlignment="1">
      <alignment horizontal="center"/>
    </xf>
    <xf numFmtId="0" fontId="18" fillId="14" borderId="7" xfId="0" applyFont="1" applyFill="1" applyBorder="1" applyAlignment="1">
      <alignment horizontal="center"/>
    </xf>
    <xf numFmtId="0" fontId="16" fillId="14" borderId="8" xfId="16" applyFont="1" applyFill="1" applyBorder="1"/>
    <xf numFmtId="0" fontId="16" fillId="14" borderId="17" xfId="16" applyFont="1" applyFill="1" applyBorder="1"/>
    <xf numFmtId="0" fontId="15" fillId="6" borderId="0" xfId="65" applyBorder="1">
      <alignment horizontal="center" vertical="center" wrapText="1"/>
    </xf>
    <xf numFmtId="168" fontId="21" fillId="0" borderId="0" xfId="2" applyNumberFormat="1" applyFont="1" applyFill="1" applyBorder="1"/>
    <xf numFmtId="0" fontId="31" fillId="0" borderId="10" xfId="0" applyFont="1" applyBorder="1">
      <alignment vertical="center"/>
    </xf>
    <xf numFmtId="169" fontId="16" fillId="9" borderId="7" xfId="0" applyNumberFormat="1" applyFont="1" applyFill="1" applyBorder="1" applyAlignment="1">
      <alignment horizontal="center"/>
    </xf>
    <xf numFmtId="0" fontId="16" fillId="10" borderId="7" xfId="13" applyFont="1" applyFill="1" applyBorder="1" applyAlignment="1">
      <alignment horizontal="center" vertical="center"/>
    </xf>
    <xf numFmtId="0" fontId="16" fillId="0" borderId="0" xfId="0" applyFont="1" applyAlignment="1">
      <alignment horizontal="right" vertical="center"/>
    </xf>
    <xf numFmtId="0" fontId="40" fillId="8" borderId="17" xfId="0" applyFont="1" applyFill="1" applyBorder="1" applyAlignment="1">
      <alignment horizontal="left" vertical="center"/>
    </xf>
    <xf numFmtId="0" fontId="40" fillId="8" borderId="8" xfId="0" applyFont="1" applyFill="1" applyBorder="1" applyAlignment="1">
      <alignment horizontal="left" vertical="center"/>
    </xf>
    <xf numFmtId="0" fontId="16" fillId="9" borderId="2" xfId="0" applyFont="1" applyFill="1" applyBorder="1">
      <alignment vertical="center"/>
    </xf>
    <xf numFmtId="0" fontId="16" fillId="9" borderId="6" xfId="0" applyFont="1" applyFill="1" applyBorder="1">
      <alignment vertical="center"/>
    </xf>
    <xf numFmtId="0" fontId="16" fillId="10" borderId="2" xfId="0" applyFont="1" applyFill="1" applyBorder="1">
      <alignment vertical="center"/>
    </xf>
    <xf numFmtId="0" fontId="16" fillId="10" borderId="6" xfId="0" applyFont="1" applyFill="1" applyBorder="1">
      <alignment vertical="center"/>
    </xf>
    <xf numFmtId="0" fontId="16" fillId="11" borderId="2" xfId="0" applyFont="1" applyFill="1" applyBorder="1">
      <alignment vertical="center"/>
    </xf>
    <xf numFmtId="0" fontId="16" fillId="11" borderId="6" xfId="0" applyFont="1" applyFill="1" applyBorder="1">
      <alignment vertical="center"/>
    </xf>
    <xf numFmtId="0" fontId="16" fillId="12" borderId="2" xfId="0" applyFont="1" applyFill="1" applyBorder="1">
      <alignment vertical="center"/>
    </xf>
    <xf numFmtId="0" fontId="16" fillId="12" borderId="6" xfId="0" applyFont="1" applyFill="1" applyBorder="1">
      <alignment vertical="center"/>
    </xf>
    <xf numFmtId="0" fontId="41" fillId="0" borderId="3" xfId="0" applyFont="1" applyBorder="1">
      <alignment vertical="center"/>
    </xf>
    <xf numFmtId="0" fontId="41" fillId="0" borderId="5" xfId="0" applyFont="1" applyBorder="1">
      <alignment vertical="center"/>
    </xf>
    <xf numFmtId="0" fontId="42" fillId="14" borderId="0" xfId="0" applyFont="1" applyFill="1">
      <alignment vertical="center"/>
    </xf>
    <xf numFmtId="179" fontId="16" fillId="0" borderId="0" xfId="1" applyNumberFormat="1" applyFont="1"/>
    <xf numFmtId="43" fontId="23" fillId="0" borderId="0" xfId="1" applyFont="1"/>
    <xf numFmtId="0" fontId="16" fillId="45" borderId="1" xfId="0" applyFont="1" applyFill="1" applyBorder="1">
      <alignment vertical="center"/>
    </xf>
    <xf numFmtId="0" fontId="16" fillId="45" borderId="4" xfId="0" applyFont="1" applyFill="1" applyBorder="1">
      <alignment vertical="center"/>
    </xf>
    <xf numFmtId="0" fontId="65" fillId="0" borderId="0" xfId="0" applyFont="1">
      <alignment vertical="center"/>
    </xf>
    <xf numFmtId="0" fontId="66" fillId="0" borderId="0" xfId="0" applyFont="1">
      <alignment vertical="center"/>
    </xf>
    <xf numFmtId="0" fontId="68" fillId="0" borderId="0" xfId="0" applyFont="1">
      <alignment vertical="center"/>
    </xf>
    <xf numFmtId="0" fontId="66" fillId="0" borderId="13" xfId="0" applyFont="1" applyBorder="1" applyAlignment="1">
      <alignment horizontal="left"/>
    </xf>
    <xf numFmtId="0" fontId="66" fillId="0" borderId="7" xfId="0" applyFont="1" applyBorder="1" applyAlignment="1">
      <alignment horizontal="left"/>
    </xf>
    <xf numFmtId="0" fontId="66" fillId="0" borderId="16" xfId="0" applyFont="1" applyBorder="1" applyAlignment="1">
      <alignment horizontal="left"/>
    </xf>
    <xf numFmtId="0" fontId="69" fillId="0" borderId="0" xfId="0" applyFont="1">
      <alignment vertical="center"/>
    </xf>
    <xf numFmtId="0" fontId="66" fillId="0" borderId="0" xfId="0" applyFont="1" applyAlignment="1">
      <alignment horizontal="right"/>
    </xf>
    <xf numFmtId="9" fontId="66" fillId="0" borderId="0" xfId="3" applyFont="1" applyBorder="1" applyAlignment="1">
      <alignment horizontal="center"/>
    </xf>
    <xf numFmtId="0" fontId="68" fillId="0" borderId="0" xfId="0" applyFont="1" applyAlignment="1">
      <alignment horizontal="right"/>
    </xf>
    <xf numFmtId="0" fontId="1" fillId="0" borderId="0" xfId="16" applyFont="1"/>
    <xf numFmtId="0" fontId="1" fillId="0" borderId="7" xfId="16" applyFont="1" applyBorder="1" applyAlignment="1">
      <alignment horizontal="right"/>
    </xf>
    <xf numFmtId="0" fontId="1" fillId="0" borderId="17" xfId="16" applyFont="1" applyBorder="1"/>
    <xf numFmtId="0" fontId="1" fillId="0" borderId="26" xfId="16" applyFont="1" applyBorder="1"/>
    <xf numFmtId="0" fontId="1" fillId="0" borderId="8" xfId="16" applyFont="1" applyBorder="1"/>
    <xf numFmtId="0" fontId="1" fillId="0" borderId="0" xfId="16" applyFont="1" applyAlignment="1">
      <alignment horizontal="center"/>
    </xf>
    <xf numFmtId="0" fontId="16" fillId="0" borderId="7" xfId="0" applyFont="1" applyBorder="1" applyAlignment="1">
      <alignment horizontal="left"/>
    </xf>
    <xf numFmtId="0" fontId="21" fillId="0" borderId="0" xfId="5" applyFont="1"/>
    <xf numFmtId="10" fontId="16" fillId="42" borderId="7" xfId="78" applyNumberFormat="1" applyFill="1" applyBorder="1"/>
    <xf numFmtId="0" fontId="16" fillId="0" borderId="7" xfId="0" applyFont="1" applyBorder="1" applyAlignment="1">
      <alignment horizontal="left" vertical="top"/>
    </xf>
    <xf numFmtId="0" fontId="13" fillId="0" borderId="0" xfId="13" applyFill="1"/>
    <xf numFmtId="0" fontId="13" fillId="0" borderId="0" xfId="0" applyFont="1" applyAlignment="1">
      <alignment wrapText="1"/>
    </xf>
    <xf numFmtId="0" fontId="70" fillId="0" borderId="0" xfId="0" applyFont="1" applyAlignment="1">
      <alignment wrapText="1"/>
    </xf>
    <xf numFmtId="0" fontId="0" fillId="0" borderId="0" xfId="0" applyAlignment="1">
      <alignment wrapText="1"/>
    </xf>
    <xf numFmtId="44" fontId="16" fillId="0" borderId="0" xfId="0" applyNumberFormat="1" applyFont="1">
      <alignment vertical="center"/>
    </xf>
    <xf numFmtId="0" fontId="16" fillId="0" borderId="7" xfId="0" applyFont="1" applyBorder="1">
      <alignment vertical="center"/>
    </xf>
    <xf numFmtId="44" fontId="16" fillId="0" borderId="7" xfId="2" applyFont="1" applyBorder="1"/>
    <xf numFmtId="0" fontId="16" fillId="0" borderId="8" xfId="0" applyFont="1" applyBorder="1">
      <alignment vertical="center"/>
    </xf>
    <xf numFmtId="0" fontId="13" fillId="0" borderId="0" xfId="0" applyFont="1" applyAlignment="1">
      <alignment horizontal="center" wrapText="1"/>
    </xf>
    <xf numFmtId="0" fontId="1" fillId="0" borderId="0" xfId="0" applyFont="1">
      <alignment vertical="center"/>
    </xf>
    <xf numFmtId="0" fontId="36" fillId="0" borderId="0" xfId="0" applyFont="1">
      <alignment vertical="center"/>
    </xf>
    <xf numFmtId="0" fontId="16" fillId="0" borderId="2" xfId="0" applyFont="1" applyBorder="1">
      <alignment vertical="center"/>
    </xf>
    <xf numFmtId="172" fontId="16" fillId="0" borderId="0" xfId="0" applyNumberFormat="1" applyFont="1">
      <alignment vertical="center"/>
    </xf>
    <xf numFmtId="173" fontId="16" fillId="0" borderId="0" xfId="0" applyNumberFormat="1" applyFont="1">
      <alignment vertical="center"/>
    </xf>
    <xf numFmtId="0" fontId="18" fillId="0" borderId="10" xfId="0" applyFont="1" applyBorder="1">
      <alignment vertical="center"/>
    </xf>
    <xf numFmtId="0" fontId="18" fillId="0" borderId="23" xfId="0" applyFont="1" applyBorder="1">
      <alignment vertical="center"/>
    </xf>
    <xf numFmtId="0" fontId="18" fillId="0" borderId="7" xfId="0" applyFont="1" applyBorder="1">
      <alignment vertical="center"/>
    </xf>
    <xf numFmtId="174" fontId="18" fillId="9" borderId="26" xfId="0" applyNumberFormat="1" applyFont="1" applyFill="1" applyBorder="1">
      <alignment vertical="center"/>
    </xf>
    <xf numFmtId="0" fontId="18" fillId="0" borderId="24" xfId="0" applyFont="1" applyBorder="1">
      <alignment vertical="center"/>
    </xf>
    <xf numFmtId="0" fontId="15" fillId="0" borderId="0" xfId="0" applyFont="1" applyAlignment="1">
      <alignment horizontal="center" wrapText="1"/>
    </xf>
    <xf numFmtId="0" fontId="71" fillId="0" borderId="0" xfId="0" applyFont="1">
      <alignment vertical="center"/>
    </xf>
    <xf numFmtId="0" fontId="7" fillId="0" borderId="0" xfId="0" applyFont="1">
      <alignment vertical="center"/>
    </xf>
    <xf numFmtId="0" fontId="65" fillId="0" borderId="0" xfId="0" applyFont="1" applyAlignment="1">
      <alignment horizontal="center" vertical="center" wrapText="1"/>
    </xf>
    <xf numFmtId="0" fontId="66" fillId="0" borderId="0" xfId="0" applyFont="1" applyAlignment="1">
      <alignment wrapText="1"/>
    </xf>
    <xf numFmtId="0" fontId="66" fillId="0" borderId="0" xfId="0" applyFont="1" applyAlignment="1">
      <alignment vertical="center" wrapText="1"/>
    </xf>
    <xf numFmtId="14" fontId="66" fillId="0" borderId="0" xfId="0" applyNumberFormat="1" applyFont="1" applyAlignment="1">
      <alignment vertical="center" wrapText="1"/>
    </xf>
    <xf numFmtId="0" fontId="72" fillId="10" borderId="0" xfId="15" applyFont="1" applyBorder="1" applyAlignment="1">
      <alignment vertical="center" wrapText="1"/>
    </xf>
    <xf numFmtId="0" fontId="72" fillId="10" borderId="6" xfId="15" applyFont="1" applyBorder="1" applyAlignment="1">
      <alignment vertical="center" wrapText="1"/>
    </xf>
    <xf numFmtId="0" fontId="66" fillId="0" borderId="6" xfId="0" applyFont="1" applyBorder="1">
      <alignment vertical="center"/>
    </xf>
    <xf numFmtId="0" fontId="66" fillId="0" borderId="2" xfId="0" applyFont="1" applyBorder="1">
      <alignment vertical="center"/>
    </xf>
    <xf numFmtId="10" fontId="66" fillId="0" borderId="2" xfId="0" applyNumberFormat="1" applyFont="1" applyBorder="1">
      <alignment vertical="center"/>
    </xf>
    <xf numFmtId="0" fontId="73" fillId="0" borderId="6" xfId="73" applyFont="1" applyBorder="1"/>
    <xf numFmtId="0" fontId="66" fillId="0" borderId="2" xfId="0" applyFont="1" applyBorder="1" applyAlignment="1">
      <alignment wrapText="1"/>
    </xf>
    <xf numFmtId="14" fontId="66" fillId="0" borderId="0" xfId="0" applyNumberFormat="1" applyFont="1" applyAlignment="1">
      <alignment wrapText="1"/>
    </xf>
    <xf numFmtId="0" fontId="66" fillId="0" borderId="6" xfId="0" applyFont="1" applyBorder="1" applyAlignment="1">
      <alignment wrapText="1"/>
    </xf>
    <xf numFmtId="14" fontId="66" fillId="0" borderId="0" xfId="0" applyNumberFormat="1" applyFont="1">
      <alignment vertical="center"/>
    </xf>
    <xf numFmtId="0" fontId="72" fillId="10" borderId="0" xfId="15" applyFont="1" applyBorder="1">
      <alignment vertical="center"/>
    </xf>
    <xf numFmtId="0" fontId="72" fillId="10" borderId="6" xfId="15" applyFont="1" applyBorder="1">
      <alignment vertical="center"/>
    </xf>
    <xf numFmtId="0" fontId="73" fillId="0" borderId="0" xfId="73" applyFont="1" applyBorder="1" applyAlignment="1">
      <alignment horizontal="left" vertical="center" wrapText="1"/>
    </xf>
    <xf numFmtId="0" fontId="66" fillId="0" borderId="0" xfId="0" applyFont="1" applyAlignment="1">
      <alignment horizontal="left"/>
    </xf>
    <xf numFmtId="10" fontId="66" fillId="0" borderId="3" xfId="0" applyNumberFormat="1" applyFont="1" applyBorder="1">
      <alignment vertical="center"/>
    </xf>
    <xf numFmtId="0" fontId="66" fillId="0" borderId="25" xfId="0" applyFont="1" applyBorder="1">
      <alignment vertical="center"/>
    </xf>
    <xf numFmtId="14" fontId="66" fillId="0" borderId="25" xfId="0" applyNumberFormat="1" applyFont="1" applyBorder="1" applyAlignment="1">
      <alignment vertical="center" wrapText="1"/>
    </xf>
    <xf numFmtId="0" fontId="66" fillId="0" borderId="5" xfId="0" applyFont="1" applyBorder="1">
      <alignment vertical="center"/>
    </xf>
    <xf numFmtId="0" fontId="66" fillId="0" borderId="23" xfId="0" applyFont="1" applyBorder="1">
      <alignment vertical="center"/>
    </xf>
    <xf numFmtId="0" fontId="66" fillId="0" borderId="3" xfId="0" applyFont="1" applyBorder="1">
      <alignment vertical="center"/>
    </xf>
    <xf numFmtId="0" fontId="66" fillId="0" borderId="24" xfId="0" applyFont="1" applyBorder="1">
      <alignment vertical="center"/>
    </xf>
    <xf numFmtId="0" fontId="65" fillId="41" borderId="0" xfId="0" applyFont="1" applyFill="1">
      <alignment vertical="center"/>
    </xf>
    <xf numFmtId="0" fontId="74" fillId="0" borderId="0" xfId="0" applyFont="1">
      <alignment vertical="center"/>
    </xf>
    <xf numFmtId="0" fontId="65" fillId="0" borderId="25" xfId="0" applyFont="1" applyBorder="1">
      <alignment vertical="center"/>
    </xf>
    <xf numFmtId="0" fontId="66" fillId="0" borderId="25" xfId="0" applyFont="1" applyBorder="1" applyAlignment="1">
      <alignment wrapText="1"/>
    </xf>
    <xf numFmtId="0" fontId="67" fillId="0" borderId="0" xfId="13" applyFont="1" applyFill="1" applyAlignment="1">
      <alignment vertical="center"/>
    </xf>
    <xf numFmtId="0" fontId="75" fillId="0" borderId="0" xfId="13" applyFont="1" applyFill="1" applyAlignment="1">
      <alignment vertical="center"/>
    </xf>
    <xf numFmtId="0" fontId="67" fillId="0" borderId="0" xfId="13" applyFont="1" applyFill="1"/>
    <xf numFmtId="0" fontId="76" fillId="0" borderId="0" xfId="0" applyFont="1">
      <alignment vertical="center"/>
    </xf>
    <xf numFmtId="170" fontId="66" fillId="0" borderId="0" xfId="5" applyNumberFormat="1" applyFont="1"/>
    <xf numFmtId="0" fontId="77" fillId="0" borderId="0" xfId="0" applyFont="1" applyAlignment="1">
      <alignment horizontal="left" indent="1"/>
    </xf>
    <xf numFmtId="0" fontId="78" fillId="0" borderId="0" xfId="0" applyFont="1">
      <alignment vertical="center"/>
    </xf>
    <xf numFmtId="8" fontId="78" fillId="0" borderId="0" xfId="0" applyNumberFormat="1" applyFont="1">
      <alignment vertical="center"/>
    </xf>
    <xf numFmtId="0" fontId="67" fillId="0" borderId="0" xfId="13" applyFont="1" applyFill="1" applyAlignment="1">
      <alignment horizontal="centerContinuous" wrapText="1"/>
    </xf>
    <xf numFmtId="2" fontId="66" fillId="0" borderId="0" xfId="0" applyNumberFormat="1" applyFont="1">
      <alignment vertical="center"/>
    </xf>
    <xf numFmtId="0" fontId="79" fillId="0" borderId="0" xfId="0" applyFont="1">
      <alignment vertical="center"/>
    </xf>
    <xf numFmtId="0" fontId="66" fillId="7" borderId="7" xfId="0" applyFont="1" applyFill="1" applyBorder="1">
      <alignment vertical="center"/>
    </xf>
    <xf numFmtId="8" fontId="66" fillId="0" borderId="0" xfId="0" applyNumberFormat="1" applyFont="1">
      <alignment vertical="center"/>
    </xf>
    <xf numFmtId="9" fontId="66" fillId="0" borderId="0" xfId="3" applyFont="1" applyFill="1"/>
    <xf numFmtId="0" fontId="78" fillId="0" borderId="0" xfId="0" applyFont="1" applyAlignment="1">
      <alignment horizontal="right"/>
    </xf>
    <xf numFmtId="169" fontId="66" fillId="0" borderId="0" xfId="0" applyNumberFormat="1" applyFont="1">
      <alignment vertical="center"/>
    </xf>
    <xf numFmtId="0" fontId="80" fillId="0" borderId="0" xfId="0" applyFont="1">
      <alignment vertical="center"/>
    </xf>
    <xf numFmtId="9" fontId="16" fillId="9" borderId="7" xfId="78" applyNumberFormat="1" applyBorder="1" applyAlignment="1">
      <alignment horizontal="center"/>
    </xf>
    <xf numFmtId="8" fontId="16" fillId="9" borderId="21" xfId="78" applyNumberFormat="1" applyAlignment="1">
      <alignment vertical="center"/>
    </xf>
    <xf numFmtId="10" fontId="16" fillId="9" borderId="21" xfId="78" applyNumberFormat="1" applyAlignment="1">
      <alignment vertical="center"/>
    </xf>
    <xf numFmtId="10" fontId="16" fillId="9" borderId="21" xfId="78" applyNumberFormat="1" applyAlignment="1">
      <alignment horizontal="center" vertical="center"/>
    </xf>
    <xf numFmtId="10" fontId="16" fillId="45" borderId="21" xfId="87" applyNumberFormat="1">
      <alignment horizontal="center" vertical="center"/>
    </xf>
    <xf numFmtId="2" fontId="16" fillId="9" borderId="21" xfId="78" applyNumberFormat="1" applyAlignment="1">
      <alignment horizontal="center" vertical="center"/>
    </xf>
    <xf numFmtId="0" fontId="16" fillId="9" borderId="21" xfId="78" applyAlignment="1">
      <alignment horizontal="center" vertical="center"/>
    </xf>
    <xf numFmtId="0" fontId="16" fillId="0" borderId="21" xfId="86" applyFont="1" applyAlignment="1">
      <alignment horizontal="center" vertical="center"/>
    </xf>
    <xf numFmtId="8" fontId="16" fillId="45" borderId="21" xfId="87" applyNumberFormat="1">
      <alignment horizontal="center" vertical="center"/>
    </xf>
    <xf numFmtId="171" fontId="16" fillId="45" borderId="21" xfId="87" applyNumberFormat="1">
      <alignment horizontal="center" vertical="center"/>
    </xf>
    <xf numFmtId="171" fontId="16" fillId="9" borderId="21" xfId="78" applyNumberFormat="1" applyAlignment="1">
      <alignment vertical="center"/>
    </xf>
    <xf numFmtId="9" fontId="16" fillId="9" borderId="21" xfId="78" applyNumberFormat="1" applyAlignment="1">
      <alignment vertical="center"/>
    </xf>
    <xf numFmtId="9" fontId="16" fillId="45" borderId="21" xfId="87" applyNumberFormat="1">
      <alignment horizontal="center" vertical="center"/>
    </xf>
    <xf numFmtId="8" fontId="16" fillId="9" borderId="21" xfId="78" applyNumberFormat="1" applyAlignment="1">
      <alignment horizontal="center" vertical="center"/>
    </xf>
    <xf numFmtId="169" fontId="16" fillId="9" borderId="21" xfId="78" applyNumberFormat="1" applyAlignment="1">
      <alignment horizontal="center" vertical="center"/>
    </xf>
    <xf numFmtId="169" fontId="16" fillId="45" borderId="21" xfId="87" applyNumberFormat="1">
      <alignment horizontal="center" vertical="center"/>
    </xf>
    <xf numFmtId="0" fontId="16" fillId="45" borderId="21" xfId="87" applyNumberFormat="1">
      <alignment horizontal="center" vertical="center"/>
    </xf>
    <xf numFmtId="174" fontId="16" fillId="45" borderId="21" xfId="87" applyNumberFormat="1">
      <alignment horizontal="center" vertical="center"/>
    </xf>
    <xf numFmtId="1" fontId="16" fillId="45" borderId="21" xfId="87" applyNumberFormat="1">
      <alignment horizontal="center" vertical="center"/>
    </xf>
    <xf numFmtId="174" fontId="16" fillId="9" borderId="21" xfId="78" applyNumberFormat="1" applyAlignment="1">
      <alignment vertical="center"/>
    </xf>
    <xf numFmtId="177" fontId="16" fillId="9" borderId="21" xfId="78" applyNumberFormat="1" applyAlignment="1">
      <alignment vertical="center"/>
    </xf>
    <xf numFmtId="44" fontId="16" fillId="45" borderId="21" xfId="87" applyNumberFormat="1">
      <alignment horizontal="center" vertical="center"/>
    </xf>
    <xf numFmtId="2" fontId="16" fillId="45" borderId="21" xfId="87" applyNumberFormat="1">
      <alignment horizontal="center" vertical="center"/>
    </xf>
    <xf numFmtId="0" fontId="81" fillId="0" borderId="0" xfId="31" applyFont="1" applyAlignment="1">
      <alignment vertical="center"/>
    </xf>
    <xf numFmtId="0" fontId="66" fillId="0" borderId="0" xfId="0" quotePrefix="1" applyFont="1" applyAlignment="1">
      <alignment vertical="center" wrapText="1"/>
    </xf>
    <xf numFmtId="169" fontId="16" fillId="9" borderId="21" xfId="78" applyNumberFormat="1" applyAlignment="1">
      <alignment vertical="center"/>
    </xf>
    <xf numFmtId="169" fontId="16" fillId="9" borderId="21" xfId="2" applyNumberFormat="1" applyFont="1" applyFill="1" applyBorder="1" applyAlignment="1">
      <alignment vertical="center"/>
    </xf>
    <xf numFmtId="173" fontId="16" fillId="9" borderId="21" xfId="78" applyNumberFormat="1" applyAlignment="1">
      <alignment vertical="center"/>
    </xf>
    <xf numFmtId="2" fontId="16" fillId="9" borderId="21" xfId="78" applyNumberFormat="1" applyAlignment="1">
      <alignment horizontal="center"/>
    </xf>
    <xf numFmtId="0" fontId="54" fillId="10" borderId="21" xfId="15">
      <alignment vertical="center"/>
    </xf>
    <xf numFmtId="173" fontId="16" fillId="13" borderId="7" xfId="0" applyNumberFormat="1" applyFont="1" applyFill="1" applyBorder="1">
      <alignment vertical="center"/>
    </xf>
    <xf numFmtId="174" fontId="1" fillId="9" borderId="7" xfId="0" applyNumberFormat="1" applyFont="1" applyFill="1" applyBorder="1">
      <alignment vertical="center"/>
    </xf>
    <xf numFmtId="0" fontId="48" fillId="0" borderId="0" xfId="31" applyAlignment="1">
      <alignment vertical="center"/>
    </xf>
    <xf numFmtId="166" fontId="16" fillId="9" borderId="21" xfId="27" applyNumberFormat="1" applyFont="1">
      <alignment vertical="center"/>
    </xf>
    <xf numFmtId="0" fontId="21" fillId="9" borderId="32" xfId="27" applyFont="1" applyBorder="1" applyAlignment="1">
      <alignment horizontal="center" vertical="center"/>
    </xf>
    <xf numFmtId="0" fontId="60" fillId="48" borderId="30" xfId="83">
      <alignment vertical="center"/>
    </xf>
    <xf numFmtId="0" fontId="60" fillId="48" borderId="30" xfId="83" applyAlignment="1">
      <alignment vertical="center" wrapText="1"/>
    </xf>
    <xf numFmtId="44" fontId="60" fillId="48" borderId="30" xfId="83" applyNumberFormat="1">
      <alignment vertical="center"/>
    </xf>
    <xf numFmtId="171" fontId="60" fillId="48" borderId="30" xfId="83" applyNumberFormat="1">
      <alignment vertical="center"/>
    </xf>
    <xf numFmtId="174" fontId="60" fillId="48" borderId="30" xfId="83" applyNumberFormat="1">
      <alignment vertical="center"/>
    </xf>
    <xf numFmtId="169" fontId="9" fillId="40" borderId="21" xfId="66" applyNumberFormat="1">
      <alignment horizontal="center" vertical="center"/>
    </xf>
    <xf numFmtId="168" fontId="9" fillId="40" borderId="21" xfId="66" applyNumberFormat="1">
      <alignment horizontal="center" vertical="center"/>
    </xf>
    <xf numFmtId="0" fontId="16" fillId="40" borderId="2" xfId="0" applyFont="1" applyFill="1" applyBorder="1">
      <alignment vertical="center"/>
    </xf>
    <xf numFmtId="0" fontId="16" fillId="40" borderId="6" xfId="0" applyFont="1" applyFill="1" applyBorder="1">
      <alignment vertical="center"/>
    </xf>
    <xf numFmtId="0" fontId="48" fillId="0" borderId="0" xfId="31" applyFill="1"/>
    <xf numFmtId="8" fontId="16" fillId="9" borderId="21" xfId="78" applyNumberFormat="1"/>
    <xf numFmtId="2" fontId="52" fillId="0" borderId="28" xfId="20" applyNumberFormat="1" applyAlignment="1">
      <alignment vertical="center"/>
    </xf>
    <xf numFmtId="0" fontId="52" fillId="0" borderId="28" xfId="20" applyAlignment="1">
      <alignment vertical="center"/>
    </xf>
    <xf numFmtId="167" fontId="52" fillId="0" borderId="28" xfId="20" applyNumberFormat="1" applyAlignment="1">
      <alignment vertical="center"/>
    </xf>
    <xf numFmtId="0" fontId="48" fillId="0" borderId="0" xfId="31" applyAlignment="1">
      <alignment horizontal="right" vertical="center"/>
    </xf>
    <xf numFmtId="8" fontId="52" fillId="0" borderId="28" xfId="20" applyNumberFormat="1" applyAlignment="1">
      <alignment vertical="center"/>
    </xf>
    <xf numFmtId="169" fontId="82" fillId="40" borderId="21" xfId="66" applyNumberFormat="1" applyFont="1">
      <alignment horizontal="center" vertical="center"/>
    </xf>
    <xf numFmtId="0" fontId="52" fillId="0" borderId="28" xfId="20" applyAlignment="1">
      <alignment horizontal="right" wrapText="1"/>
    </xf>
    <xf numFmtId="169" fontId="16" fillId="51" borderId="21" xfId="78" applyNumberFormat="1" applyFill="1" applyAlignment="1">
      <alignment horizontal="center" vertical="center"/>
    </xf>
    <xf numFmtId="169" fontId="16" fillId="51" borderId="21" xfId="87" applyNumberFormat="1" applyFill="1">
      <alignment horizontal="center" vertical="center"/>
    </xf>
    <xf numFmtId="169" fontId="14" fillId="51" borderId="0" xfId="2" applyNumberFormat="1" applyFont="1" applyFill="1" applyBorder="1" applyAlignment="1">
      <alignment horizontal="center" vertical="center"/>
    </xf>
    <xf numFmtId="0" fontId="36" fillId="0" borderId="0" xfId="0" applyFont="1" applyAlignment="1"/>
    <xf numFmtId="0" fontId="1" fillId="45" borderId="7" xfId="16" applyFont="1" applyFill="1" applyBorder="1" applyAlignment="1">
      <alignment horizontal="center"/>
    </xf>
    <xf numFmtId="169" fontId="82" fillId="40" borderId="32" xfId="66" applyNumberFormat="1" applyFont="1" applyBorder="1">
      <alignment horizontal="center" vertical="center"/>
    </xf>
    <xf numFmtId="0" fontId="31" fillId="0" borderId="33" xfId="0" applyFont="1" applyBorder="1">
      <alignment vertical="center"/>
    </xf>
    <xf numFmtId="169" fontId="9" fillId="40" borderId="34" xfId="66" applyNumberFormat="1" applyBorder="1">
      <alignment horizontal="center" vertical="center"/>
    </xf>
    <xf numFmtId="0" fontId="16" fillId="0" borderId="11" xfId="0" applyFont="1" applyBorder="1">
      <alignment vertical="center"/>
    </xf>
    <xf numFmtId="0" fontId="31" fillId="0" borderId="13" xfId="0" applyFont="1" applyBorder="1">
      <alignment vertical="center"/>
    </xf>
    <xf numFmtId="0" fontId="66" fillId="0" borderId="0" xfId="0" applyFont="1" applyAlignment="1">
      <alignment horizontal="right" vertical="center"/>
    </xf>
    <xf numFmtId="0" fontId="65" fillId="0" borderId="0" xfId="0" applyFont="1" applyAlignment="1">
      <alignment horizontal="right" vertical="center"/>
    </xf>
    <xf numFmtId="0" fontId="48" fillId="0" borderId="0" xfId="31" applyFill="1" applyAlignment="1">
      <alignment vertical="center"/>
    </xf>
    <xf numFmtId="8" fontId="48" fillId="0" borderId="0" xfId="31" applyNumberFormat="1" applyFill="1" applyAlignment="1">
      <alignment vertical="center"/>
    </xf>
    <xf numFmtId="170" fontId="66" fillId="0" borderId="0" xfId="5" applyNumberFormat="1" applyFont="1" applyAlignment="1">
      <alignment horizontal="right"/>
    </xf>
    <xf numFmtId="0" fontId="8" fillId="14" borderId="0" xfId="0" applyFont="1" applyFill="1" applyAlignment="1">
      <alignment horizontal="left"/>
    </xf>
    <xf numFmtId="176" fontId="8" fillId="0" borderId="0" xfId="0" applyNumberFormat="1" applyFont="1" applyAlignment="1">
      <alignment horizontal="left"/>
    </xf>
    <xf numFmtId="0" fontId="60" fillId="48" borderId="30" xfId="83" applyAlignment="1">
      <alignment horizontal="center" vertical="center"/>
    </xf>
    <xf numFmtId="0" fontId="66" fillId="0" borderId="12" xfId="0" applyFont="1" applyBorder="1" applyAlignment="1">
      <alignment horizontal="right" vertical="center"/>
    </xf>
    <xf numFmtId="0" fontId="66" fillId="0" borderId="14" xfId="0" applyFont="1" applyBorder="1" applyAlignment="1">
      <alignment horizontal="right" vertical="center"/>
    </xf>
    <xf numFmtId="0" fontId="66" fillId="0" borderId="15" xfId="0" applyFont="1" applyBorder="1" applyAlignment="1">
      <alignment horizontal="right" vertical="center"/>
    </xf>
    <xf numFmtId="0" fontId="60" fillId="48" borderId="30" xfId="83">
      <alignment vertical="center"/>
    </xf>
    <xf numFmtId="0" fontId="60" fillId="48" borderId="30" xfId="83" applyAlignment="1">
      <alignment vertical="center" wrapText="1"/>
    </xf>
    <xf numFmtId="10" fontId="0" fillId="0" borderId="0" xfId="3" applyNumberFormat="1" applyFont="1" applyAlignment="1">
      <alignment vertical="center"/>
    </xf>
  </cellXfs>
  <cellStyles count="88">
    <cellStyle name="_x0010_“+ˆÉ•?pý¤" xfId="7" xr:uid="{00000000-0005-0000-0000-000000000000}"/>
    <cellStyle name="_x0010_“+ˆÉ•?pý¤ 2" xfId="10" xr:uid="{00000000-0005-0000-0000-000001000000}"/>
    <cellStyle name="20% - Accent1" xfId="33" builtinId="30" customBuiltin="1"/>
    <cellStyle name="20% - Accent2 2" xfId="76" xr:uid="{E9FEE939-526A-49F1-BD2F-A5869931E2E4}"/>
    <cellStyle name="20% - Accent3" xfId="39" builtinId="38" customBuiltin="1"/>
    <cellStyle name="20% - Accent4" xfId="43" builtinId="42" customBuiltin="1"/>
    <cellStyle name="20% - Accent5" xfId="47" builtinId="46" customBuiltin="1"/>
    <cellStyle name="20% - Accent6" xfId="51" builtinId="50" customBuiltin="1"/>
    <cellStyle name="40% - Accent1" xfId="34" builtinId="31" customBuiltin="1"/>
    <cellStyle name="40% - Accent2 2" xfId="77" xr:uid="{920147EA-54AC-4E81-9500-541AD858ACB1}"/>
    <cellStyle name="40% - Accent3" xfId="40" builtinId="39" customBuiltin="1"/>
    <cellStyle name="40% - Accent4" xfId="44" builtinId="43" customBuiltin="1"/>
    <cellStyle name="40% - Accent5" xfId="48" builtinId="47" customBuiltin="1"/>
    <cellStyle name="40% - Accent6" xfId="52" builtinId="51" customBuiltin="1"/>
    <cellStyle name="60% - Accent1" xfId="35"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13" builtinId="29" customBuiltin="1"/>
    <cellStyle name="Accent2" xfId="36" builtinId="33" customBuiltin="1"/>
    <cellStyle name="Accent3" xfId="38" builtinId="37" customBuiltin="1"/>
    <cellStyle name="Accent4" xfId="42" builtinId="41" customBuiltin="1"/>
    <cellStyle name="Accent5" xfId="46" builtinId="45" customBuiltin="1"/>
    <cellStyle name="Accent6" xfId="50" builtinId="49" customBuiltin="1"/>
    <cellStyle name="Bad" xfId="23" builtinId="27" customBuiltin="1"/>
    <cellStyle name="Calculated value" xfId="78" xr:uid="{B93BB339-534D-4BD1-A302-C8E6507D12D7}"/>
    <cellStyle name="Calculation" xfId="27" builtinId="22" customBuiltin="1"/>
    <cellStyle name="Calculation with Different Formula" xfId="79" xr:uid="{9F69B2C3-8931-4A6D-997B-1BF72CFDA0A8}"/>
    <cellStyle name="Check Cell" xfId="29" builtinId="23" customBuiltin="1"/>
    <cellStyle name="Comma" xfId="1" builtinId="3"/>
    <cellStyle name="Comma 18" xfId="60" xr:uid="{CA6322C6-15CC-4507-8EF6-DE68DA51B7C6}"/>
    <cellStyle name="Comma 2" xfId="4" xr:uid="{00000000-0005-0000-0000-000006000000}"/>
    <cellStyle name="Comma 2 2" xfId="69" xr:uid="{E0901555-5B06-4344-831C-9D7BD406C4B1}"/>
    <cellStyle name="Comma 3" xfId="55" xr:uid="{9788B714-B3FA-445B-81CC-F650A541605F}"/>
    <cellStyle name="Comma 5" xfId="62" xr:uid="{CC1C5F8E-B696-456B-B2BC-6D85F59C6CB6}"/>
    <cellStyle name="Currency" xfId="2" builtinId="4"/>
    <cellStyle name="Currency 2" xfId="8" xr:uid="{00000000-0005-0000-0000-000008000000}"/>
    <cellStyle name="Currency 3" xfId="56" xr:uid="{A30CCD09-559A-4770-A458-EFD8D18DA1FC}"/>
    <cellStyle name="Datetime Format" xfId="80" xr:uid="{5299CBD0-2C81-4204-BC83-B58AF9773BB0}"/>
    <cellStyle name="Dropdown Input" xfId="81" xr:uid="{B339AEE3-2162-494F-AA81-0C694BB54BC7}"/>
    <cellStyle name="Explanatory Text" xfId="31" builtinId="53" customBuiltin="1"/>
    <cellStyle name="Good" xfId="22" builtinId="26" customBuiltin="1"/>
    <cellStyle name="Heading" xfId="65" xr:uid="{583D189F-99AD-4D42-A01E-22B6F6A12A49}"/>
    <cellStyle name="Heading 1" xfId="18" builtinId="16" customBuiltin="1"/>
    <cellStyle name="Heading 2" xfId="19" builtinId="17" customBuiltin="1"/>
    <cellStyle name="Heading 3" xfId="20" builtinId="18" customBuiltin="1"/>
    <cellStyle name="Heading 4" xfId="21" builtinId="19" customBuiltin="1"/>
    <cellStyle name="Hyperlink" xfId="15" builtinId="8" customBuiltin="1"/>
    <cellStyle name="Hyperlink 2" xfId="73" xr:uid="{9E108085-1061-443C-B3F3-29C2AF15C96B}"/>
    <cellStyle name="Input" xfId="25" builtinId="20" customBuiltin="1"/>
    <cellStyle name="Input Large" xfId="87" xr:uid="{3C4D5EF3-0982-41D6-AB16-5C578E6C97FA}"/>
    <cellStyle name="Linked Cell" xfId="28" builtinId="24" customBuiltin="1"/>
    <cellStyle name="Neutral" xfId="24" builtinId="28" customBuiltin="1"/>
    <cellStyle name="no dec" xfId="9" xr:uid="{00000000-0005-0000-0000-000009000000}"/>
    <cellStyle name="no dec 2" xfId="11" xr:uid="{00000000-0005-0000-0000-00000A000000}"/>
    <cellStyle name="Normal" xfId="0" builtinId="0" customBuiltin="1"/>
    <cellStyle name="Normal 16" xfId="5" xr:uid="{00000000-0005-0000-0000-00000C000000}"/>
    <cellStyle name="Normal 2" xfId="6" xr:uid="{00000000-0005-0000-0000-00000D000000}"/>
    <cellStyle name="Normal 2 2" xfId="72" xr:uid="{D9FCF1FC-7A67-441B-AB40-5296B8924150}"/>
    <cellStyle name="Normal 3" xfId="14" xr:uid="{AFFEE163-7550-408E-BE77-53D72AA77F6A}"/>
    <cellStyle name="Normal 3 2" xfId="74" xr:uid="{0B1D5975-C95C-45FC-ADDE-74A494546FE6}"/>
    <cellStyle name="Normal 30 2" xfId="58" xr:uid="{C49F5BAD-5158-4E81-A0B5-6481B49E647B}"/>
    <cellStyle name="Normal 4" xfId="16" xr:uid="{3973A72E-A931-490E-A096-CEF32F34C570}"/>
    <cellStyle name="Normal 4 2" xfId="71" xr:uid="{B306E99B-508B-4A98-A843-3F98A0A361B9}"/>
    <cellStyle name="Normal 5" xfId="54" xr:uid="{6017FA8C-B695-4667-A646-9F41261AC263}"/>
    <cellStyle name="Normal 5 2 2" xfId="59" xr:uid="{125FBB5C-20F4-40EE-85B8-1A668E9CE75E}"/>
    <cellStyle name="Note" xfId="12" builtinId="10" customBuiltin="1"/>
    <cellStyle name="Note 2" xfId="75" xr:uid="{A291D004-BF91-4422-AD05-890E0998A3EA}"/>
    <cellStyle name="Output" xfId="26" builtinId="21" customBuiltin="1"/>
    <cellStyle name="Percent" xfId="3" builtinId="5"/>
    <cellStyle name="Percent 10" xfId="61" xr:uid="{33A12D91-9531-4C0C-A7B1-645D90828002}"/>
    <cellStyle name="Percent 14" xfId="63" xr:uid="{F0D634B2-4745-4733-AC61-7819B86E020B}"/>
    <cellStyle name="Percent 2" xfId="67" xr:uid="{828023F3-E0ED-4D5C-B11C-6C01872F6332}"/>
    <cellStyle name="Percent 2 10" xfId="64" xr:uid="{94B28A0D-69B6-4E1F-B75B-9B127CAFEAA0}"/>
    <cellStyle name="Percent 2 2" xfId="70" xr:uid="{2A104AD2-32FD-4C1B-B480-5177B1CC3619}"/>
    <cellStyle name="Percent 3" xfId="57" xr:uid="{6075FB6E-56A6-4286-8CBF-441CF0606F2F}"/>
    <cellStyle name="Placeholder Data" xfId="82" xr:uid="{C349834C-386B-483C-9543-99E54DB1C5D7}"/>
    <cellStyle name="Results" xfId="66" xr:uid="{E546C2F6-53C9-4BAB-8862-C1089EF1FEF3}"/>
    <cellStyle name="Subtitle" xfId="68" xr:uid="{84957F7A-4D33-4300-A182-ACC11DF49A9E}"/>
    <cellStyle name="Table Header" xfId="83" xr:uid="{35DE1797-FFA4-450C-881A-50D77D8EDC71}"/>
    <cellStyle name="Table Index" xfId="84" xr:uid="{A78AED07-E950-4D9A-B160-DBAB8B26557B}"/>
    <cellStyle name="Table Sub-Header" xfId="85" xr:uid="{11C45AD2-EC34-4A71-8C41-0737B17FE8B0}"/>
    <cellStyle name="Table Value" xfId="86" xr:uid="{90A3D03E-74BF-4267-B5FA-C1508DD6983B}"/>
    <cellStyle name="Title" xfId="17" builtinId="15" customBuiltin="1"/>
    <cellStyle name="Total" xfId="32" builtinId="25" customBuiltin="1"/>
    <cellStyle name="Warning Text" xfId="30" builtinId="11" customBuiltin="1"/>
  </cellStyles>
  <dxfs count="3">
    <dxf>
      <font>
        <b val="0"/>
        <i/>
        <strike val="0"/>
        <color theme="0" tint="-0.499984740745262"/>
      </font>
      <fill>
        <patternFill>
          <bgColor theme="0" tint="-0.14996795556505021"/>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CC"/>
      <color rgb="FFFFFF99"/>
      <color rgb="FF99CCFF"/>
      <color rgb="FFC0C0C0"/>
      <color rgb="FF057DB3"/>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'User Dashboard'!$C$47</c:f>
              <c:strCache>
                <c:ptCount val="1"/>
                <c:pt idx="0">
                  <c:v>Average Commodity Cost</c:v>
                </c:pt>
              </c:strCache>
            </c:strRef>
          </c:tx>
          <c:spPr>
            <a:solidFill>
              <a:schemeClr val="accent4">
                <a:lumMod val="50000"/>
              </a:schemeClr>
            </a:solidFill>
            <a:ln w="25400">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Dashboard'!$E$47:$AH$47</c:f>
              <c:numCache>
                <c:formatCode>"$"#,##0.00</c:formatCode>
                <c:ptCount val="30"/>
                <c:pt idx="0">
                  <c:v>0.57577397035741196</c:v>
                </c:pt>
                <c:pt idx="1">
                  <c:v>0.5875762726546494</c:v>
                </c:pt>
                <c:pt idx="2">
                  <c:v>0.59950341718858635</c:v>
                </c:pt>
                <c:pt idx="3">
                  <c:v>0.61169805772507369</c:v>
                </c:pt>
                <c:pt idx="4">
                  <c:v>0.62410943710292088</c:v>
                </c:pt>
                <c:pt idx="5">
                  <c:v>0.63673962123381855</c:v>
                </c:pt>
                <c:pt idx="6">
                  <c:v>0.64983956477362037</c:v>
                </c:pt>
                <c:pt idx="7">
                  <c:v>0.66330226027566874</c:v>
                </c:pt>
                <c:pt idx="8">
                  <c:v>0.67725850465173787</c:v>
                </c:pt>
                <c:pt idx="9">
                  <c:v>0.69144733403876912</c:v>
                </c:pt>
                <c:pt idx="10">
                  <c:v>0.70584011402671898</c:v>
                </c:pt>
                <c:pt idx="11">
                  <c:v>0.72085340122779273</c:v>
                </c:pt>
                <c:pt idx="12">
                  <c:v>0.73650154304837645</c:v>
                </c:pt>
                <c:pt idx="13">
                  <c:v>0.75266576576655175</c:v>
                </c:pt>
                <c:pt idx="14">
                  <c:v>0.76921053791318827</c:v>
                </c:pt>
                <c:pt idx="15">
                  <c:v>0.78607523065524865</c:v>
                </c:pt>
                <c:pt idx="16">
                  <c:v>0.80327312408870244</c:v>
                </c:pt>
                <c:pt idx="17">
                  <c:v>0.82090050401156811</c:v>
                </c:pt>
                <c:pt idx="18">
                  <c:v>0.83895656741513525</c:v>
                </c:pt>
                <c:pt idx="19">
                  <c:v>0.85739567951133644</c:v>
                </c:pt>
                <c:pt idx="20">
                  <c:v>0.87628350025503188</c:v>
                </c:pt>
                <c:pt idx="21">
                  <c:v>0.89565160919471554</c:v>
                </c:pt>
                <c:pt idx="22">
                  <c:v>0.9155198501855254</c:v>
                </c:pt>
                <c:pt idx="23">
                  <c:v>0.9358213652454267</c:v>
                </c:pt>
                <c:pt idx="24">
                  <c:v>0.95652409190065013</c:v>
                </c:pt>
                <c:pt idx="25">
                  <c:v>0.97563510162574529</c:v>
                </c:pt>
                <c:pt idx="26">
                  <c:v>0.99588742210767556</c:v>
                </c:pt>
                <c:pt idx="27">
                  <c:v>1.0161215651285602</c:v>
                </c:pt>
                <c:pt idx="28">
                  <c:v>1.0362952261610969</c:v>
                </c:pt>
                <c:pt idx="29">
                  <c:v>1.056352861095031</c:v>
                </c:pt>
              </c:numCache>
            </c:numRef>
          </c:val>
          <c:extLst>
            <c:ext xmlns:c16="http://schemas.microsoft.com/office/drawing/2014/chart" uri="{C3380CC4-5D6E-409C-BE32-E72D297353CC}">
              <c16:uniqueId val="{00000000-3A12-4A3A-94DD-128AB1F05004}"/>
            </c:ext>
          </c:extLst>
        </c:ser>
        <c:ser>
          <c:idx val="1"/>
          <c:order val="1"/>
          <c:tx>
            <c:strRef>
              <c:f>'User Dashboard'!$C$48</c:f>
              <c:strCache>
                <c:ptCount val="1"/>
                <c:pt idx="0">
                  <c:v>Average T&amp;D Cost</c:v>
                </c:pt>
              </c:strCache>
            </c:strRef>
          </c:tx>
          <c:spPr>
            <a:solidFill>
              <a:schemeClr val="accent3">
                <a:lumMod val="50000"/>
              </a:schemeClr>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Dashboard'!$E$48:$AH$48</c:f>
              <c:numCache>
                <c:formatCode>"$"#,##0.00</c:formatCode>
                <c:ptCount val="30"/>
                <c:pt idx="0">
                  <c:v>0.56974563576309967</c:v>
                </c:pt>
                <c:pt idx="1">
                  <c:v>0.56670335993454934</c:v>
                </c:pt>
                <c:pt idx="2">
                  <c:v>0.57803742713324024</c:v>
                </c:pt>
                <c:pt idx="3">
                  <c:v>0.58959817567590511</c:v>
                </c:pt>
                <c:pt idx="4">
                  <c:v>0.60139013918942319</c:v>
                </c:pt>
                <c:pt idx="5">
                  <c:v>0.61341794197321164</c:v>
                </c:pt>
                <c:pt idx="6">
                  <c:v>0.62568630081267596</c:v>
                </c:pt>
                <c:pt idx="7">
                  <c:v>0.63820002682892929</c:v>
                </c:pt>
                <c:pt idx="8">
                  <c:v>0.65096402736550796</c:v>
                </c:pt>
                <c:pt idx="9">
                  <c:v>0.66398330791281812</c:v>
                </c:pt>
                <c:pt idx="10">
                  <c:v>0.6772629740710745</c:v>
                </c:pt>
                <c:pt idx="11">
                  <c:v>0.69080823355249588</c:v>
                </c:pt>
                <c:pt idx="12">
                  <c:v>0.70462439822354594</c:v>
                </c:pt>
                <c:pt idx="13">
                  <c:v>0.71871688618801677</c:v>
                </c:pt>
                <c:pt idx="14">
                  <c:v>0.73309122391177717</c:v>
                </c:pt>
                <c:pt idx="15">
                  <c:v>0.74775304839001255</c:v>
                </c:pt>
                <c:pt idx="16">
                  <c:v>0.76270810935781297</c:v>
                </c:pt>
                <c:pt idx="17">
                  <c:v>0.77796227154496922</c:v>
                </c:pt>
                <c:pt idx="18">
                  <c:v>0.79352151697586859</c:v>
                </c:pt>
                <c:pt idx="19">
                  <c:v>0.80939194731538588</c:v>
                </c:pt>
                <c:pt idx="20">
                  <c:v>0.8255797862616937</c:v>
                </c:pt>
                <c:pt idx="21">
                  <c:v>0.84209138198692746</c:v>
                </c:pt>
                <c:pt idx="22">
                  <c:v>0.85893320962666608</c:v>
                </c:pt>
                <c:pt idx="23">
                  <c:v>0.8761118738191993</c:v>
                </c:pt>
                <c:pt idx="24">
                  <c:v>0.89363411129558323</c:v>
                </c:pt>
                <c:pt idx="25">
                  <c:v>0.911506793521495</c:v>
                </c:pt>
                <c:pt idx="26">
                  <c:v>0.92973692939192498</c:v>
                </c:pt>
                <c:pt idx="27">
                  <c:v>0.94833166797976332</c:v>
                </c:pt>
                <c:pt idx="28">
                  <c:v>0.96729830133935879</c:v>
                </c:pt>
                <c:pt idx="29">
                  <c:v>0.98664426736614574</c:v>
                </c:pt>
              </c:numCache>
            </c:numRef>
          </c:val>
          <c:extLst>
            <c:ext xmlns:c16="http://schemas.microsoft.com/office/drawing/2014/chart" uri="{C3380CC4-5D6E-409C-BE32-E72D297353CC}">
              <c16:uniqueId val="{00000001-3A12-4A3A-94DD-128AB1F05004}"/>
            </c:ext>
          </c:extLst>
        </c:ser>
        <c:ser>
          <c:idx val="2"/>
          <c:order val="2"/>
          <c:tx>
            <c:strRef>
              <c:f>'User Dashboard'!$C$49</c:f>
              <c:strCache>
                <c:ptCount val="1"/>
                <c:pt idx="0">
                  <c:v>NOx Emissions Cost</c:v>
                </c:pt>
              </c:strCache>
            </c:strRef>
          </c:tx>
          <c:spPr>
            <a:solidFill>
              <a:schemeClr val="accent1">
                <a:lumMod val="75000"/>
              </a:schemeClr>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Dashboard'!$E$49:$AH$49</c:f>
              <c:numCache>
                <c:formatCode>"$"#,##0.00</c:formatCode>
                <c:ptCount val="30"/>
                <c:pt idx="0">
                  <c:v>0.18784820536087118</c:v>
                </c:pt>
                <c:pt idx="1">
                  <c:v>0.19994146433024471</c:v>
                </c:pt>
                <c:pt idx="2">
                  <c:v>0.21203472329961823</c:v>
                </c:pt>
                <c:pt idx="3">
                  <c:v>0.22412798226899175</c:v>
                </c:pt>
                <c:pt idx="4">
                  <c:v>0.2362212412383653</c:v>
                </c:pt>
                <c:pt idx="5">
                  <c:v>0.24831450020773882</c:v>
                </c:pt>
                <c:pt idx="6">
                  <c:v>0.26040775917710818</c:v>
                </c:pt>
                <c:pt idx="7">
                  <c:v>0.2725010181464817</c:v>
                </c:pt>
                <c:pt idx="8">
                  <c:v>0.28459427711585522</c:v>
                </c:pt>
                <c:pt idx="9">
                  <c:v>0.29668753608522874</c:v>
                </c:pt>
                <c:pt idx="10">
                  <c:v>0.30878079505460226</c:v>
                </c:pt>
                <c:pt idx="11">
                  <c:v>0.32087405402397579</c:v>
                </c:pt>
                <c:pt idx="12">
                  <c:v>0.33296731299334931</c:v>
                </c:pt>
                <c:pt idx="13">
                  <c:v>0.34506057196271867</c:v>
                </c:pt>
                <c:pt idx="14">
                  <c:v>0.35715383093209219</c:v>
                </c:pt>
                <c:pt idx="15">
                  <c:v>0.36924708990146571</c:v>
                </c:pt>
                <c:pt idx="16">
                  <c:v>0.38134034887083923</c:v>
                </c:pt>
                <c:pt idx="17">
                  <c:v>0.39343360784021281</c:v>
                </c:pt>
                <c:pt idx="18">
                  <c:v>0.40552686680958633</c:v>
                </c:pt>
                <c:pt idx="19">
                  <c:v>0.41762012577895563</c:v>
                </c:pt>
                <c:pt idx="20">
                  <c:v>0.42971338474832921</c:v>
                </c:pt>
                <c:pt idx="21">
                  <c:v>0.44180664371770273</c:v>
                </c:pt>
                <c:pt idx="22">
                  <c:v>0.45389990268707625</c:v>
                </c:pt>
                <c:pt idx="23">
                  <c:v>0.46599316165644977</c:v>
                </c:pt>
                <c:pt idx="24">
                  <c:v>0.47808642062582329</c:v>
                </c:pt>
                <c:pt idx="25">
                  <c:v>0.49017967959519682</c:v>
                </c:pt>
                <c:pt idx="26">
                  <c:v>0.50227293856456612</c:v>
                </c:pt>
                <c:pt idx="27">
                  <c:v>0.51436619753393964</c:v>
                </c:pt>
                <c:pt idx="28">
                  <c:v>0.52645945650331327</c:v>
                </c:pt>
                <c:pt idx="29">
                  <c:v>0.53855271547268679</c:v>
                </c:pt>
              </c:numCache>
            </c:numRef>
          </c:val>
          <c:extLst>
            <c:ext xmlns:c16="http://schemas.microsoft.com/office/drawing/2014/chart" uri="{C3380CC4-5D6E-409C-BE32-E72D297353CC}">
              <c16:uniqueId val="{00000002-3A12-4A3A-94DD-128AB1F05004}"/>
            </c:ext>
          </c:extLst>
        </c:ser>
        <c:ser>
          <c:idx val="3"/>
          <c:order val="3"/>
          <c:tx>
            <c:strRef>
              <c:f>'User Dashboard'!$C$50</c:f>
              <c:strCache>
                <c:ptCount val="1"/>
                <c:pt idx="0">
                  <c:v>CO2 Cost</c:v>
                </c:pt>
              </c:strCache>
            </c:strRef>
          </c:tx>
          <c:spPr>
            <a:solidFill>
              <a:schemeClr val="tx2"/>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Dashboard'!$E$50:$AH$50</c:f>
              <c:numCache>
                <c:formatCode>"$"#,##0.00</c:formatCode>
                <c:ptCount val="30"/>
                <c:pt idx="0">
                  <c:v>0.70212914585220498</c:v>
                </c:pt>
                <c:pt idx="1">
                  <c:v>1.4937533249690589</c:v>
                </c:pt>
                <c:pt idx="2">
                  <c:v>2.2861116423931618</c:v>
                </c:pt>
                <c:pt idx="3">
                  <c:v>2.4930611771237903</c:v>
                </c:pt>
                <c:pt idx="4">
                  <c:v>2.7010894361305207</c:v>
                </c:pt>
                <c:pt idx="5">
                  <c:v>2.9101203746854143</c:v>
                </c:pt>
                <c:pt idx="6">
                  <c:v>2.7512512182310651</c:v>
                </c:pt>
                <c:pt idx="7">
                  <c:v>2.5934457530116672</c:v>
                </c:pt>
                <c:pt idx="8">
                  <c:v>2.4368195484112083</c:v>
                </c:pt>
                <c:pt idx="9">
                  <c:v>2.2814974406010671</c:v>
                </c:pt>
                <c:pt idx="10">
                  <c:v>2.1276389887137843</c:v>
                </c:pt>
                <c:pt idx="11">
                  <c:v>2.2038749863260234</c:v>
                </c:pt>
                <c:pt idx="12">
                  <c:v>2.2817732388912635</c:v>
                </c:pt>
                <c:pt idx="13">
                  <c:v>2.3614285054507409</c:v>
                </c:pt>
                <c:pt idx="14">
                  <c:v>2.4430519305955145</c:v>
                </c:pt>
                <c:pt idx="15">
                  <c:v>2.5270142780752889</c:v>
                </c:pt>
                <c:pt idx="16">
                  <c:v>2.8352211484452194</c:v>
                </c:pt>
                <c:pt idx="17">
                  <c:v>3.1458302856647955</c:v>
                </c:pt>
                <c:pt idx="18">
                  <c:v>3.4589226570915037</c:v>
                </c:pt>
                <c:pt idx="19">
                  <c:v>3.774841446961684</c:v>
                </c:pt>
                <c:pt idx="20">
                  <c:v>3.8503382759009179</c:v>
                </c:pt>
                <c:pt idx="21">
                  <c:v>3.9273450414189357</c:v>
                </c:pt>
                <c:pt idx="22">
                  <c:v>4.005891942247314</c:v>
                </c:pt>
                <c:pt idx="23">
                  <c:v>4.0860097810922609</c:v>
                </c:pt>
                <c:pt idx="24">
                  <c:v>4.1677299767141056</c:v>
                </c:pt>
                <c:pt idx="25">
                  <c:v>4.2510845762483882</c:v>
                </c:pt>
                <c:pt idx="26">
                  <c:v>4.3361062677733555</c:v>
                </c:pt>
                <c:pt idx="27">
                  <c:v>4.4228283931288228</c:v>
                </c:pt>
                <c:pt idx="28">
                  <c:v>4.5112849609913992</c:v>
                </c:pt>
                <c:pt idx="29">
                  <c:v>4.6015106602112272</c:v>
                </c:pt>
              </c:numCache>
            </c:numRef>
          </c:val>
          <c:extLst>
            <c:ext xmlns:c16="http://schemas.microsoft.com/office/drawing/2014/chart" uri="{C3380CC4-5D6E-409C-BE32-E72D297353CC}">
              <c16:uniqueId val="{00000003-3A12-4A3A-94DD-128AB1F05004}"/>
            </c:ext>
          </c:extLst>
        </c:ser>
        <c:ser>
          <c:idx val="4"/>
          <c:order val="4"/>
          <c:tx>
            <c:strRef>
              <c:f>'User Dashboard'!$C$51</c:f>
              <c:strCache>
                <c:ptCount val="1"/>
                <c:pt idx="0">
                  <c:v>Upstream Methane Leakage Cost</c:v>
                </c:pt>
              </c:strCache>
            </c:strRef>
          </c:tx>
          <c:spPr>
            <a:solidFill>
              <a:schemeClr val="bg1">
                <a:lumMod val="65000"/>
              </a:schemeClr>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Dashboard'!$E$51:$AH$51</c:f>
              <c:numCache>
                <c:formatCode>"$"#,##0.00</c:formatCode>
                <c:ptCount val="30"/>
                <c:pt idx="0">
                  <c:v>3.9108593423967816E-2</c:v>
                </c:pt>
                <c:pt idx="1">
                  <c:v>8.3202060200776584E-2</c:v>
                </c:pt>
                <c:pt idx="2">
                  <c:v>0.12733641848129912</c:v>
                </c:pt>
                <c:pt idx="3">
                  <c:v>0.13886350756579513</c:v>
                </c:pt>
                <c:pt idx="4">
                  <c:v>0.15045068159246999</c:v>
                </c:pt>
                <c:pt idx="5">
                  <c:v>0.16209370486997757</c:v>
                </c:pt>
                <c:pt idx="6">
                  <c:v>0.15324469285547032</c:v>
                </c:pt>
                <c:pt idx="7">
                  <c:v>0.14445492844274987</c:v>
                </c:pt>
                <c:pt idx="8">
                  <c:v>0.1357308488465043</c:v>
                </c:pt>
                <c:pt idx="9">
                  <c:v>0.12707940744147944</c:v>
                </c:pt>
                <c:pt idx="10">
                  <c:v>0.11850949167135778</c:v>
                </c:pt>
                <c:pt idx="11">
                  <c:v>0.12275583673835951</c:v>
                </c:pt>
                <c:pt idx="12">
                  <c:v>0.12709476940624337</c:v>
                </c:pt>
                <c:pt idx="13">
                  <c:v>0.13153156775360628</c:v>
                </c:pt>
                <c:pt idx="14">
                  <c:v>0.13607799253417016</c:v>
                </c:pt>
                <c:pt idx="15">
                  <c:v>0.14075469528879359</c:v>
                </c:pt>
                <c:pt idx="16">
                  <c:v>0.15792181796839871</c:v>
                </c:pt>
                <c:pt idx="17">
                  <c:v>0.17522274691152911</c:v>
                </c:pt>
                <c:pt idx="18">
                  <c:v>0.19266199199999676</c:v>
                </c:pt>
                <c:pt idx="19">
                  <c:v>0.21025866859576581</c:v>
                </c:pt>
                <c:pt idx="20">
                  <c:v>0.21446384196768112</c:v>
                </c:pt>
                <c:pt idx="21">
                  <c:v>0.21875311880703471</c:v>
                </c:pt>
                <c:pt idx="22">
                  <c:v>0.2231281811831754</c:v>
                </c:pt>
                <c:pt idx="23">
                  <c:v>0.22759074480683894</c:v>
                </c:pt>
                <c:pt idx="24">
                  <c:v>0.23214255970297568</c:v>
                </c:pt>
                <c:pt idx="25">
                  <c:v>0.23678541089703523</c:v>
                </c:pt>
                <c:pt idx="26">
                  <c:v>0.2415211191149759</c:v>
                </c:pt>
                <c:pt idx="27">
                  <c:v>0.24635154149727542</c:v>
                </c:pt>
                <c:pt idx="28">
                  <c:v>0.25127857232722095</c:v>
                </c:pt>
                <c:pt idx="29">
                  <c:v>0.25630414377376537</c:v>
                </c:pt>
              </c:numCache>
            </c:numRef>
          </c:val>
          <c:extLst>
            <c:ext xmlns:c16="http://schemas.microsoft.com/office/drawing/2014/chart" uri="{C3380CC4-5D6E-409C-BE32-E72D297353CC}">
              <c16:uniqueId val="{00000004-3A12-4A3A-94DD-128AB1F05004}"/>
            </c:ext>
          </c:extLst>
        </c:ser>
        <c:ser>
          <c:idx val="5"/>
          <c:order val="5"/>
          <c:tx>
            <c:strRef>
              <c:f>'User Dashboard'!$C$52</c:f>
              <c:strCache>
                <c:ptCount val="1"/>
                <c:pt idx="0">
                  <c:v>Behind-the-Meter Methane Leakage Cost</c:v>
                </c:pt>
              </c:strCache>
            </c:strRef>
          </c:tx>
          <c:spPr>
            <a:solidFill>
              <a:schemeClr val="tx1"/>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Dashboard'!$E$52:$AH$52</c:f>
              <c:numCache>
                <c:formatCode>"$"#,##0.00</c:formatCode>
                <c:ptCount val="30"/>
                <c:pt idx="0">
                  <c:v>2.6586094482542431E-2</c:v>
                </c:pt>
                <c:pt idx="1">
                  <c:v>5.6560915133408704E-2</c:v>
                </c:pt>
                <c:pt idx="2">
                  <c:v>8.6563533904485582E-2</c:v>
                </c:pt>
                <c:pt idx="3">
                  <c:v>9.4399670484158107E-2</c:v>
                </c:pt>
                <c:pt idx="4">
                  <c:v>0.10227665291917572</c:v>
                </c:pt>
                <c:pt idx="5">
                  <c:v>0.1101916017786904</c:v>
                </c:pt>
                <c:pt idx="6">
                  <c:v>0.10417602696769086</c:v>
                </c:pt>
                <c:pt idx="7">
                  <c:v>9.8200728786481908E-2</c:v>
                </c:pt>
                <c:pt idx="8">
                  <c:v>9.2270083265570374E-2</c:v>
                </c:pt>
                <c:pt idx="9">
                  <c:v>8.6388817322029451E-2</c:v>
                </c:pt>
                <c:pt idx="10">
                  <c:v>8.0562972656589446E-2</c:v>
                </c:pt>
                <c:pt idx="11">
                  <c:v>8.3449645923841201E-2</c:v>
                </c:pt>
                <c:pt idx="12">
                  <c:v>8.6399260414222107E-2</c:v>
                </c:pt>
                <c:pt idx="13">
                  <c:v>8.9415404175370194E-2</c:v>
                </c:pt>
                <c:pt idx="14">
                  <c:v>9.2506072189519922E-2</c:v>
                </c:pt>
                <c:pt idx="15">
                  <c:v>9.5685303412522335E-2</c:v>
                </c:pt>
                <c:pt idx="16">
                  <c:v>0.10735554531065382</c:v>
                </c:pt>
                <c:pt idx="17">
                  <c:v>0.11911674895537318</c:v>
                </c:pt>
                <c:pt idx="18">
                  <c:v>0.13097198017271661</c:v>
                </c:pt>
                <c:pt idx="19">
                  <c:v>0.14293423362126811</c:v>
                </c:pt>
                <c:pt idx="20">
                  <c:v>0.14579291829369351</c:v>
                </c:pt>
                <c:pt idx="21">
                  <c:v>0.14870877665956736</c:v>
                </c:pt>
                <c:pt idx="22">
                  <c:v>0.15168295219275868</c:v>
                </c:pt>
                <c:pt idx="23">
                  <c:v>0.15471661123661387</c:v>
                </c:pt>
                <c:pt idx="24">
                  <c:v>0.15781094346134614</c:v>
                </c:pt>
                <c:pt idx="25">
                  <c:v>0.16096716233057307</c:v>
                </c:pt>
                <c:pt idx="26">
                  <c:v>0.16418650557718451</c:v>
                </c:pt>
                <c:pt idx="27">
                  <c:v>0.16747023568872821</c:v>
                </c:pt>
                <c:pt idx="28">
                  <c:v>0.17081964040250278</c:v>
                </c:pt>
                <c:pt idx="29">
                  <c:v>0.17423603321055284</c:v>
                </c:pt>
              </c:numCache>
            </c:numRef>
          </c:val>
          <c:extLst>
            <c:ext xmlns:c16="http://schemas.microsoft.com/office/drawing/2014/chart" uri="{C3380CC4-5D6E-409C-BE32-E72D297353CC}">
              <c16:uniqueId val="{00000005-3A12-4A3A-94DD-128AB1F05004}"/>
            </c:ext>
          </c:extLst>
        </c:ser>
        <c:ser>
          <c:idx val="6"/>
          <c:order val="6"/>
          <c:tx>
            <c:strRef>
              <c:f>'User Dashboard'!$C$53</c:f>
              <c:strCache>
                <c:ptCount val="1"/>
                <c:pt idx="0">
                  <c:v>Air Quality Adder</c:v>
                </c:pt>
              </c:strCache>
            </c:strRef>
          </c:tx>
          <c:spPr>
            <a:solidFill>
              <a:schemeClr val="accent1">
                <a:lumMod val="20000"/>
                <a:lumOff val="80000"/>
              </a:schemeClr>
            </a:solidFill>
            <a:ln>
              <a:noFill/>
            </a:ln>
            <a:effectLst/>
          </c:spPr>
          <c:cat>
            <c:numRef>
              <c:f>'User Dashboard'!$E$46:$AH$46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'User Dashboard'!$E$53:$AH$53</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1-01F8-479C-8CC6-8A08721227DA}"/>
            </c:ext>
          </c:extLst>
        </c:ser>
        <c:dLbls>
          <c:showLegendKey val="0"/>
          <c:showVal val="0"/>
          <c:showCatName val="0"/>
          <c:showSerName val="0"/>
          <c:showPercent val="0"/>
          <c:showBubbleSize val="0"/>
        </c:dLbls>
        <c:axId val="1990225456"/>
        <c:axId val="1990223056"/>
      </c:areaChart>
      <c:catAx>
        <c:axId val="1990225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90223056"/>
        <c:crosses val="autoZero"/>
        <c:auto val="1"/>
        <c:lblAlgn val="ctr"/>
        <c:lblOffset val="100"/>
        <c:tickLblSkip val="5"/>
        <c:noMultiLvlLbl val="0"/>
      </c:catAx>
      <c:valAx>
        <c:axId val="19902230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99022545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'User Dashboard'!$E$160</c:f>
              <c:strCache>
                <c:ptCount val="1"/>
                <c:pt idx="0">
                  <c:v>Market (Commodity)</c:v>
                </c:pt>
              </c:strCache>
            </c:strRef>
          </c:tx>
          <c:spPr>
            <a:solidFill>
              <a:schemeClr val="accent4">
                <a:lumMod val="50000"/>
              </a:schemeClr>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Dashboard'!$E$161:$E$172</c:f>
              <c:numCache>
                <c:formatCode>"$"#,##0.00</c:formatCode>
                <c:ptCount val="12"/>
                <c:pt idx="0">
                  <c:v>0.72549938250157442</c:v>
                </c:pt>
                <c:pt idx="1">
                  <c:v>0.70957460101247316</c:v>
                </c:pt>
                <c:pt idx="2">
                  <c:v>0.65137464494700636</c:v>
                </c:pt>
                <c:pt idx="3">
                  <c:v>0.64027476129402638</c:v>
                </c:pt>
                <c:pt idx="4">
                  <c:v>0.66254118812582419</c:v>
                </c:pt>
                <c:pt idx="5">
                  <c:v>0.67965186967115865</c:v>
                </c:pt>
                <c:pt idx="6">
                  <c:v>0.68502636452537857</c:v>
                </c:pt>
                <c:pt idx="7">
                  <c:v>0.67971782445750539</c:v>
                </c:pt>
                <c:pt idx="8">
                  <c:v>0.68926107314380269</c:v>
                </c:pt>
                <c:pt idx="9">
                  <c:v>0.68527172512328172</c:v>
                </c:pt>
                <c:pt idx="10">
                  <c:v>0.7191242016343028</c:v>
                </c:pt>
                <c:pt idx="11">
                  <c:v>0.7248899674710334</c:v>
                </c:pt>
              </c:numCache>
            </c:numRef>
          </c:val>
          <c:extLst>
            <c:ext xmlns:c16="http://schemas.microsoft.com/office/drawing/2014/chart" uri="{C3380CC4-5D6E-409C-BE32-E72D297353CC}">
              <c16:uniqueId val="{00000000-7F90-4399-A688-B61037935CCC}"/>
            </c:ext>
          </c:extLst>
        </c:ser>
        <c:ser>
          <c:idx val="1"/>
          <c:order val="1"/>
          <c:tx>
            <c:strRef>
              <c:f>'User Dashboard'!$F$160</c:f>
              <c:strCache>
                <c:ptCount val="1"/>
                <c:pt idx="0">
                  <c:v>T&amp;D</c:v>
                </c:pt>
              </c:strCache>
            </c:strRef>
          </c:tx>
          <c:spPr>
            <a:solidFill>
              <a:schemeClr val="accent3">
                <a:lumMod val="50000"/>
              </a:schemeClr>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Dashboard'!$F$161:$F$172</c:f>
              <c:numCache>
                <c:formatCode>"$"#,##0.00</c:formatCode>
                <c:ptCount val="12"/>
                <c:pt idx="0">
                  <c:v>0.95669442618805711</c:v>
                </c:pt>
                <c:pt idx="1">
                  <c:v>0.95669442618805711</c:v>
                </c:pt>
                <c:pt idx="2">
                  <c:v>0.95669442618805711</c:v>
                </c:pt>
                <c:pt idx="3">
                  <c:v>0</c:v>
                </c:pt>
                <c:pt idx="4">
                  <c:v>0</c:v>
                </c:pt>
                <c:pt idx="5">
                  <c:v>0</c:v>
                </c:pt>
                <c:pt idx="6">
                  <c:v>0</c:v>
                </c:pt>
                <c:pt idx="7">
                  <c:v>0</c:v>
                </c:pt>
                <c:pt idx="8">
                  <c:v>0</c:v>
                </c:pt>
                <c:pt idx="9">
                  <c:v>0</c:v>
                </c:pt>
                <c:pt idx="10">
                  <c:v>0.95669442618805711</c:v>
                </c:pt>
                <c:pt idx="11">
                  <c:v>0.95669442618805711</c:v>
                </c:pt>
              </c:numCache>
            </c:numRef>
          </c:val>
          <c:extLst>
            <c:ext xmlns:c16="http://schemas.microsoft.com/office/drawing/2014/chart" uri="{C3380CC4-5D6E-409C-BE32-E72D297353CC}">
              <c16:uniqueId val="{00000001-7F90-4399-A688-B61037935CCC}"/>
            </c:ext>
          </c:extLst>
        </c:ser>
        <c:ser>
          <c:idx val="2"/>
          <c:order val="2"/>
          <c:tx>
            <c:strRef>
              <c:f>'User Dashboard'!$G$160</c:f>
              <c:strCache>
                <c:ptCount val="1"/>
                <c:pt idx="0">
                  <c:v>Environment (CO2 &amp; NOx)</c:v>
                </c:pt>
              </c:strCache>
            </c:strRef>
          </c:tx>
          <c:spPr>
            <a:solidFill>
              <a:schemeClr val="tx2"/>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Dashboard'!$G$161:$G$172</c:f>
              <c:numCache>
                <c:formatCode>"$"#,##0.00</c:formatCode>
                <c:ptCount val="12"/>
                <c:pt idx="0">
                  <c:v>2.5906518567385168</c:v>
                </c:pt>
                <c:pt idx="1">
                  <c:v>2.5906518567385168</c:v>
                </c:pt>
                <c:pt idx="2">
                  <c:v>2.5906518567385168</c:v>
                </c:pt>
                <c:pt idx="3">
                  <c:v>2.5906518567385168</c:v>
                </c:pt>
                <c:pt idx="4">
                  <c:v>2.5906518567385168</c:v>
                </c:pt>
                <c:pt idx="5">
                  <c:v>2.5906518567385168</c:v>
                </c:pt>
                <c:pt idx="6">
                  <c:v>2.5906518567385168</c:v>
                </c:pt>
                <c:pt idx="7">
                  <c:v>2.5906518567385168</c:v>
                </c:pt>
                <c:pt idx="8">
                  <c:v>2.5906518567385168</c:v>
                </c:pt>
                <c:pt idx="9">
                  <c:v>2.5906518567385168</c:v>
                </c:pt>
                <c:pt idx="10">
                  <c:v>2.5906518567385168</c:v>
                </c:pt>
                <c:pt idx="11">
                  <c:v>2.5906518567385168</c:v>
                </c:pt>
              </c:numCache>
            </c:numRef>
          </c:val>
          <c:extLst>
            <c:ext xmlns:c16="http://schemas.microsoft.com/office/drawing/2014/chart" uri="{C3380CC4-5D6E-409C-BE32-E72D297353CC}">
              <c16:uniqueId val="{00000002-7F90-4399-A688-B61037935CCC}"/>
            </c:ext>
          </c:extLst>
        </c:ser>
        <c:ser>
          <c:idx val="3"/>
          <c:order val="3"/>
          <c:tx>
            <c:strRef>
              <c:f>'User Dashboard'!$H$160</c:f>
              <c:strCache>
                <c:ptCount val="1"/>
                <c:pt idx="0">
                  <c:v>Upstream methane leakage</c:v>
                </c:pt>
              </c:strCache>
            </c:strRef>
          </c:tx>
          <c:spPr>
            <a:solidFill>
              <a:schemeClr val="bg1">
                <a:lumMod val="65000"/>
              </a:schemeClr>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Dashboard'!$H$161:$H$172</c:f>
              <c:numCache>
                <c:formatCode>"$"#,##0.00</c:formatCode>
                <c:ptCount val="12"/>
                <c:pt idx="0">
                  <c:v>0.12900535130388813</c:v>
                </c:pt>
                <c:pt idx="1">
                  <c:v>0.12900535130388813</c:v>
                </c:pt>
                <c:pt idx="2">
                  <c:v>0.12900535130388813</c:v>
                </c:pt>
                <c:pt idx="3">
                  <c:v>0.12900535130388813</c:v>
                </c:pt>
                <c:pt idx="4">
                  <c:v>0.12900535130388813</c:v>
                </c:pt>
                <c:pt idx="5">
                  <c:v>0.12900535130388813</c:v>
                </c:pt>
                <c:pt idx="6">
                  <c:v>0.12900535130388813</c:v>
                </c:pt>
                <c:pt idx="7">
                  <c:v>0.12900535130388813</c:v>
                </c:pt>
                <c:pt idx="8">
                  <c:v>0.12900535130388813</c:v>
                </c:pt>
                <c:pt idx="9">
                  <c:v>0.12900535130388813</c:v>
                </c:pt>
                <c:pt idx="10">
                  <c:v>0.12900535130388813</c:v>
                </c:pt>
                <c:pt idx="11">
                  <c:v>0.12900535130388813</c:v>
                </c:pt>
              </c:numCache>
            </c:numRef>
          </c:val>
          <c:extLst>
            <c:ext xmlns:c16="http://schemas.microsoft.com/office/drawing/2014/chart" uri="{C3380CC4-5D6E-409C-BE32-E72D297353CC}">
              <c16:uniqueId val="{00000003-7F90-4399-A688-B61037935CCC}"/>
            </c:ext>
          </c:extLst>
        </c:ser>
        <c:ser>
          <c:idx val="4"/>
          <c:order val="4"/>
          <c:tx>
            <c:strRef>
              <c:f>'User Dashboard'!$I$160</c:f>
              <c:strCache>
                <c:ptCount val="1"/>
                <c:pt idx="0">
                  <c:v>Behind-the-meter methane leakage</c:v>
                </c:pt>
              </c:strCache>
            </c:strRef>
          </c:tx>
          <c:spPr>
            <a:solidFill>
              <a:schemeClr val="bg1">
                <a:lumMod val="50000"/>
              </a:schemeClr>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Dashboard'!$I$161:$I$172</c:f>
              <c:numCache>
                <c:formatCode>"$"#,##0.00</c:formatCode>
                <c:ptCount val="12"/>
                <c:pt idx="0">
                  <c:v>8.7698077538549774E-2</c:v>
                </c:pt>
                <c:pt idx="1">
                  <c:v>8.7698077538549774E-2</c:v>
                </c:pt>
                <c:pt idx="2">
                  <c:v>8.7698077538549774E-2</c:v>
                </c:pt>
                <c:pt idx="3">
                  <c:v>8.7698077538549774E-2</c:v>
                </c:pt>
                <c:pt idx="4">
                  <c:v>8.7698077538549774E-2</c:v>
                </c:pt>
                <c:pt idx="5">
                  <c:v>8.7698077538549774E-2</c:v>
                </c:pt>
                <c:pt idx="6">
                  <c:v>8.7698077538549774E-2</c:v>
                </c:pt>
                <c:pt idx="7">
                  <c:v>8.7698077538549774E-2</c:v>
                </c:pt>
                <c:pt idx="8">
                  <c:v>8.7698077538549774E-2</c:v>
                </c:pt>
                <c:pt idx="9">
                  <c:v>8.7698077538549774E-2</c:v>
                </c:pt>
                <c:pt idx="10">
                  <c:v>8.7698077538549774E-2</c:v>
                </c:pt>
                <c:pt idx="11">
                  <c:v>8.7698077538549774E-2</c:v>
                </c:pt>
              </c:numCache>
            </c:numRef>
          </c:val>
          <c:extLst>
            <c:ext xmlns:c16="http://schemas.microsoft.com/office/drawing/2014/chart" uri="{C3380CC4-5D6E-409C-BE32-E72D297353CC}">
              <c16:uniqueId val="{00000004-7F90-4399-A688-B61037935CCC}"/>
            </c:ext>
          </c:extLst>
        </c:ser>
        <c:ser>
          <c:idx val="5"/>
          <c:order val="5"/>
          <c:tx>
            <c:strRef>
              <c:f>'User Dashboard'!$J$160</c:f>
              <c:strCache>
                <c:ptCount val="1"/>
                <c:pt idx="0">
                  <c:v>Air Quality Adder</c:v>
                </c:pt>
              </c:strCache>
            </c:strRef>
          </c:tx>
          <c:spPr>
            <a:solidFill>
              <a:schemeClr val="tx1"/>
            </a:solidFill>
            <a:ln>
              <a:noFill/>
            </a:ln>
            <a:effectLst/>
          </c:spPr>
          <c:invertIfNegative val="0"/>
          <c:cat>
            <c:strRef>
              <c:f>'User Dashboard'!$C$161:$C$172</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'User Dashboard'!$J$161:$J$172</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7F90-4399-A688-B61037935CCC}"/>
            </c:ext>
          </c:extLst>
        </c:ser>
        <c:dLbls>
          <c:showLegendKey val="0"/>
          <c:showVal val="0"/>
          <c:showCatName val="0"/>
          <c:showSerName val="0"/>
          <c:showPercent val="0"/>
          <c:showBubbleSize val="0"/>
        </c:dLbls>
        <c:gapWidth val="50"/>
        <c:overlap val="100"/>
        <c:axId val="626189552"/>
        <c:axId val="626182832"/>
      </c:barChart>
      <c:catAx>
        <c:axId val="626189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26182832"/>
        <c:crosses val="autoZero"/>
        <c:auto val="1"/>
        <c:lblAlgn val="ctr"/>
        <c:lblOffset val="100"/>
        <c:noMultiLvlLbl val="0"/>
      </c:catAx>
      <c:valAx>
        <c:axId val="626182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US"/>
                  <a:t>$/therm</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261895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Output!$B$31</c:f>
          <c:strCache>
            <c:ptCount val="1"/>
            <c:pt idx="0">
              <c:v>Levelized Gas Avoided Costs: PG&amp;E, Residential, Residential Furnace, Uncontrolled</c:v>
            </c:pt>
          </c:strCache>
        </c:strRef>
      </c:tx>
      <c:layout>
        <c:manualLayout>
          <c:xMode val="edge"/>
          <c:yMode val="edge"/>
          <c:x val="0.11602230810872055"/>
          <c:y val="3.48837209302325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232076988513229"/>
          <c:y val="0.27906976744186046"/>
          <c:w val="0.76304577949855723"/>
          <c:h val="0.5"/>
        </c:manualLayout>
      </c:layout>
      <c:lineChart>
        <c:grouping val="standard"/>
        <c:varyColors val="0"/>
        <c:ser>
          <c:idx val="0"/>
          <c:order val="0"/>
          <c:tx>
            <c:strRef>
              <c:f>Output!$C$16</c:f>
              <c:strCache>
                <c:ptCount val="1"/>
                <c:pt idx="0">
                  <c:v>Monthly </c:v>
                </c:pt>
              </c:strCache>
            </c:strRef>
          </c:tx>
          <c:spPr>
            <a:ln w="28575" cap="rnd">
              <a:solidFill>
                <a:schemeClr val="accent1"/>
              </a:solidFill>
              <a:round/>
            </a:ln>
            <a:effectLst/>
          </c:spPr>
          <c:marker>
            <c:symbol val="none"/>
          </c:marker>
          <c:cat>
            <c:strRef>
              <c:f>Output!$B$17:$B$28</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Output!$C$17:$C$28</c:f>
              <c:numCache>
                <c:formatCode>"$"#,##0.00</c:formatCode>
                <c:ptCount val="12"/>
                <c:pt idx="0">
                  <c:v>4.4895490942705871</c:v>
                </c:pt>
                <c:pt idx="1">
                  <c:v>4.473624312781487</c:v>
                </c:pt>
                <c:pt idx="2">
                  <c:v>4.4154243567160192</c:v>
                </c:pt>
                <c:pt idx="3">
                  <c:v>3.4476300468749805</c:v>
                </c:pt>
                <c:pt idx="4">
                  <c:v>3.4698964737067786</c:v>
                </c:pt>
                <c:pt idx="5">
                  <c:v>3.4870071552521127</c:v>
                </c:pt>
                <c:pt idx="6">
                  <c:v>3.4923816501063336</c:v>
                </c:pt>
                <c:pt idx="7">
                  <c:v>3.4870731100384607</c:v>
                </c:pt>
                <c:pt idx="8">
                  <c:v>3.496616358724757</c:v>
                </c:pt>
                <c:pt idx="9">
                  <c:v>3.4926270107042363</c:v>
                </c:pt>
                <c:pt idx="10">
                  <c:v>4.4831739134033146</c:v>
                </c:pt>
                <c:pt idx="11">
                  <c:v>4.4889396792400467</c:v>
                </c:pt>
              </c:numCache>
            </c:numRef>
          </c:val>
          <c:smooth val="0"/>
          <c:extLst>
            <c:ext xmlns:c16="http://schemas.microsoft.com/office/drawing/2014/chart" uri="{C3380CC4-5D6E-409C-BE32-E72D297353CC}">
              <c16:uniqueId val="{00000000-38A9-4990-97E3-61DFFA1BAAE5}"/>
            </c:ext>
          </c:extLst>
        </c:ser>
        <c:dLbls>
          <c:showLegendKey val="0"/>
          <c:showVal val="0"/>
          <c:showCatName val="0"/>
          <c:showSerName val="0"/>
          <c:showPercent val="0"/>
          <c:showBubbleSize val="0"/>
        </c:dLbls>
        <c:smooth val="0"/>
        <c:axId val="433030656"/>
        <c:axId val="564428800"/>
      </c:lineChart>
      <c:catAx>
        <c:axId val="433030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4428800"/>
        <c:crosses val="autoZero"/>
        <c:auto val="1"/>
        <c:lblAlgn val="ctr"/>
        <c:lblOffset val="100"/>
        <c:tickLblSkip val="1"/>
        <c:tickMarkSkip val="1"/>
        <c:noMultiLvlLbl val="0"/>
      </c:catAx>
      <c:valAx>
        <c:axId val="5644288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Avoided Cost (Levelized $/Therm)</a:t>
                </a:r>
              </a:p>
            </c:rich>
          </c:tx>
          <c:layout>
            <c:manualLayout>
              <c:xMode val="edge"/>
              <c:yMode val="edge"/>
              <c:x val="2.9465983011738556E-2"/>
              <c:y val="0.174418604651162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3030656"/>
        <c:crosses val="autoZero"/>
        <c:crossBetween val="between"/>
      </c:valAx>
      <c:spPr>
        <a:noFill/>
        <a:ln>
          <a:noFill/>
        </a:ln>
        <a:effectLst/>
      </c:spPr>
    </c:plotArea>
    <c:plotVisOnly val="1"/>
    <c:dispBlanksAs val="gap"/>
    <c:showDLblsOverMax val="0"/>
  </c:chart>
  <c:spPr>
    <a:solidFill>
      <a:schemeClr val="bg1"/>
    </a:solidFill>
    <a:ln w="6350" cap="flat" cmpd="sng" algn="ctr">
      <a:solidFill>
        <a:schemeClr val="bg1">
          <a:lumMod val="50000"/>
        </a:schemeClr>
      </a:solidFill>
      <a:round/>
    </a:ln>
    <a:effectLst/>
  </c:spPr>
  <c:txPr>
    <a:bodyPr/>
    <a:lstStyle/>
    <a:p>
      <a:pPr>
        <a:defRPr>
          <a:solidFill>
            <a:schemeClr val="tx1">
              <a:lumMod val="65000"/>
              <a:lumOff val="35000"/>
            </a:schemeClr>
          </a:solidFil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Output!$G$31</c:f>
          <c:strCache>
            <c:ptCount val="1"/>
            <c:pt idx="0">
              <c:v>Monthly Gas Avoided Costs: PG&amp;E, Residential, Residential Furnace, Uncontrolled</c:v>
            </c:pt>
          </c:strCache>
        </c:strRef>
      </c:tx>
      <c:overlay val="0"/>
      <c:spPr>
        <a:noFill/>
        <a:ln>
          <a:noFill/>
        </a:ln>
        <a:effectLst/>
      </c:spPr>
      <c:txPr>
        <a:bodyPr rot="0" vert="horz"/>
        <a:lstStyle/>
        <a:p>
          <a:pPr>
            <a:defRPr sz="1400" b="0"/>
          </a:pPr>
          <a:endParaRPr lang="en-US"/>
        </a:p>
      </c:txPr>
    </c:title>
    <c:autoTitleDeleted val="0"/>
    <c:view3D>
      <c:rotX val="14"/>
      <c:hPercent val="100"/>
      <c:rotY val="329"/>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072664359861592"/>
          <c:y val="0.16474011687719708"/>
          <c:w val="0.803802211810831"/>
          <c:h val="0.62369143616084133"/>
        </c:manualLayout>
      </c:layout>
      <c:surface3DChart>
        <c:wireframe val="0"/>
        <c:ser>
          <c:idx val="0"/>
          <c:order val="0"/>
          <c:tx>
            <c:strRef>
              <c:f>Output!$G$17</c:f>
              <c:strCache>
                <c:ptCount val="1"/>
                <c:pt idx="0">
                  <c:v>January</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p3d contourW="9525">
              <a:contourClr>
                <a:schemeClr val="accent1">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Output!$H$17:$AK$17</c:f>
              <c:numCache>
                <c:formatCode>"$"#,##0.00</c:formatCode>
                <c:ptCount val="30"/>
                <c:pt idx="0">
                  <c:v>2.4221784030559599</c:v>
                </c:pt>
                <c:pt idx="1">
                  <c:v>3.3082485312460252</c:v>
                </c:pt>
                <c:pt idx="2">
                  <c:v>4.2164406075532117</c:v>
                </c:pt>
                <c:pt idx="3">
                  <c:v>4.4851129271052592</c:v>
                </c:pt>
                <c:pt idx="4">
                  <c:v>4.7556251673943919</c:v>
                </c:pt>
                <c:pt idx="5">
                  <c:v>5.0277863245514167</c:v>
                </c:pt>
                <c:pt idx="6">
                  <c:v>4.8984021807804465</c:v>
                </c:pt>
                <c:pt idx="7">
                  <c:v>4.7711473668552591</c:v>
                </c:pt>
                <c:pt idx="8">
                  <c:v>4.645790591270706</c:v>
                </c:pt>
                <c:pt idx="9">
                  <c:v>4.5229400561499231</c:v>
                </c:pt>
                <c:pt idx="10">
                  <c:v>4.4019791770434793</c:v>
                </c:pt>
                <c:pt idx="11">
                  <c:v>4.533580518155941</c:v>
                </c:pt>
                <c:pt idx="12">
                  <c:v>4.6682199828275541</c:v>
                </c:pt>
                <c:pt idx="13">
                  <c:v>4.8057463657946595</c:v>
                </c:pt>
                <c:pt idx="14">
                  <c:v>4.9463719088349327</c:v>
                </c:pt>
                <c:pt idx="15">
                  <c:v>5.0902070839169777</c:v>
                </c:pt>
                <c:pt idx="16">
                  <c:v>5.4800800407970964</c:v>
                </c:pt>
                <c:pt idx="17">
                  <c:v>5.8734800585869156</c:v>
                </c:pt>
                <c:pt idx="18">
                  <c:v>6.2705222840588206</c:v>
                </c:pt>
                <c:pt idx="19">
                  <c:v>6.6715148120044523</c:v>
                </c:pt>
                <c:pt idx="20">
                  <c:v>6.8105621713862483</c:v>
                </c:pt>
                <c:pt idx="21">
                  <c:v>6.9522400154121682</c:v>
                </c:pt>
                <c:pt idx="22">
                  <c:v>7.0966431054862653</c:v>
                </c:pt>
                <c:pt idx="23">
                  <c:v>7.2437249271935364</c:v>
                </c:pt>
                <c:pt idx="24">
                  <c:v>7.3935119930178956</c:v>
                </c:pt>
                <c:pt idx="25">
                  <c:v>7.5438707001882541</c:v>
                </c:pt>
                <c:pt idx="26">
                  <c:v>7.6978407443782784</c:v>
                </c:pt>
                <c:pt idx="27">
                  <c:v>7.8541164391770257</c:v>
                </c:pt>
                <c:pt idx="28">
                  <c:v>8.0128218207745849</c:v>
                </c:pt>
                <c:pt idx="29">
                  <c:v>8.1739238584875658</c:v>
                </c:pt>
              </c:numCache>
            </c:numRef>
          </c:val>
          <c:extLst>
            <c:ext xmlns:c16="http://schemas.microsoft.com/office/drawing/2014/chart" uri="{C3380CC4-5D6E-409C-BE32-E72D297353CC}">
              <c16:uniqueId val="{00000000-0B79-4F05-A1ED-B28F9B82FD21}"/>
            </c:ext>
          </c:extLst>
        </c:ser>
        <c:ser>
          <c:idx val="1"/>
          <c:order val="1"/>
          <c:tx>
            <c:strRef>
              <c:f>Output!$G$18</c:f>
              <c:strCache>
                <c:ptCount val="1"/>
                <c:pt idx="0">
                  <c:v>February</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p3d contourW="9525">
              <a:contourClr>
                <a:schemeClr val="accent2">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Output!$H$18:$AK$18</c:f>
              <c:numCache>
                <c:formatCode>"$"#,##0.00</c:formatCode>
                <c:ptCount val="30"/>
                <c:pt idx="0">
                  <c:v>2.4085181628809496</c:v>
                </c:pt>
                <c:pt idx="1">
                  <c:v>3.2943000824110009</c:v>
                </c:pt>
                <c:pt idx="2">
                  <c:v>4.2022253081420819</c:v>
                </c:pt>
                <c:pt idx="3">
                  <c:v>4.4706169277510863</c:v>
                </c:pt>
                <c:pt idx="4">
                  <c:v>4.7408267695370014</c:v>
                </c:pt>
                <c:pt idx="5">
                  <c:v>5.0126869904649807</c:v>
                </c:pt>
                <c:pt idx="6">
                  <c:v>4.8830079800537849</c:v>
                </c:pt>
                <c:pt idx="7">
                  <c:v>4.7554079057509906</c:v>
                </c:pt>
                <c:pt idx="8">
                  <c:v>4.629752864178446</c:v>
                </c:pt>
                <c:pt idx="9">
                  <c:v>4.5065091267707738</c:v>
                </c:pt>
                <c:pt idx="10">
                  <c:v>4.3852131725258348</c:v>
                </c:pt>
                <c:pt idx="11">
                  <c:v>4.5164895429862559</c:v>
                </c:pt>
                <c:pt idx="12">
                  <c:v>4.6507625949161504</c:v>
                </c:pt>
                <c:pt idx="13">
                  <c:v>4.7879106443015225</c:v>
                </c:pt>
                <c:pt idx="14">
                  <c:v>4.9281254109539985</c:v>
                </c:pt>
                <c:pt idx="15">
                  <c:v>5.0715660129834728</c:v>
                </c:pt>
                <c:pt idx="16">
                  <c:v>5.4610330736073376</c:v>
                </c:pt>
                <c:pt idx="17">
                  <c:v>5.8540184561289657</c:v>
                </c:pt>
                <c:pt idx="18">
                  <c:v>6.2506336332820647</c:v>
                </c:pt>
                <c:pt idx="19">
                  <c:v>6.6511931291418209</c:v>
                </c:pt>
                <c:pt idx="20">
                  <c:v>6.7897935101028031</c:v>
                </c:pt>
                <c:pt idx="21">
                  <c:v>6.9310168502430738</c:v>
                </c:pt>
                <c:pt idx="22">
                  <c:v>7.0749513464146272</c:v>
                </c:pt>
                <c:pt idx="23">
                  <c:v>7.221555593690276</c:v>
                </c:pt>
                <c:pt idx="24">
                  <c:v>7.3708535281406196</c:v>
                </c:pt>
                <c:pt idx="25">
                  <c:v>7.5207638996870196</c:v>
                </c:pt>
                <c:pt idx="26">
                  <c:v>7.6742534994676408</c:v>
                </c:pt>
                <c:pt idx="27">
                  <c:v>7.83006399097901</c:v>
                </c:pt>
                <c:pt idx="28">
                  <c:v>7.9882962480969795</c:v>
                </c:pt>
                <c:pt idx="29">
                  <c:v>8.1489229198808601</c:v>
                </c:pt>
              </c:numCache>
            </c:numRef>
          </c:val>
          <c:extLst>
            <c:ext xmlns:c16="http://schemas.microsoft.com/office/drawing/2014/chart" uri="{C3380CC4-5D6E-409C-BE32-E72D297353CC}">
              <c16:uniqueId val="{00000001-0B79-4F05-A1ED-B28F9B82FD21}"/>
            </c:ext>
          </c:extLst>
        </c:ser>
        <c:ser>
          <c:idx val="2"/>
          <c:order val="2"/>
          <c:tx>
            <c:strRef>
              <c:f>Output!$G$19</c:f>
              <c:strCache>
                <c:ptCount val="1"/>
                <c:pt idx="0">
                  <c:v>March</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p3d contourW="9525">
              <a:contourClr>
                <a:schemeClr val="accent3">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Output!$H$19:$AK$19</c:f>
              <c:numCache>
                <c:formatCode>"$"#,##0.00</c:formatCode>
                <c:ptCount val="30"/>
                <c:pt idx="0">
                  <c:v>2.3586085170781033</c:v>
                </c:pt>
                <c:pt idx="1">
                  <c:v>3.243357970553769</c:v>
                </c:pt>
                <c:pt idx="2">
                  <c:v>4.1502678223204983</c:v>
                </c:pt>
                <c:pt idx="3">
                  <c:v>4.4176122689353976</c:v>
                </c:pt>
                <c:pt idx="4">
                  <c:v>4.6867371472271637</c:v>
                </c:pt>
                <c:pt idx="5">
                  <c:v>4.9575010746732762</c:v>
                </c:pt>
                <c:pt idx="6">
                  <c:v>4.826704809220451</c:v>
                </c:pt>
                <c:pt idx="7">
                  <c:v>4.697908073135368</c:v>
                </c:pt>
                <c:pt idx="8">
                  <c:v>4.5710809661939891</c:v>
                </c:pt>
                <c:pt idx="9">
                  <c:v>4.4465423706792206</c:v>
                </c:pt>
                <c:pt idx="10">
                  <c:v>4.3240061497467668</c:v>
                </c:pt>
                <c:pt idx="11">
                  <c:v>4.4540169608652116</c:v>
                </c:pt>
                <c:pt idx="12">
                  <c:v>4.5869391441525824</c:v>
                </c:pt>
                <c:pt idx="13">
                  <c:v>4.7226919605453235</c:v>
                </c:pt>
                <c:pt idx="14">
                  <c:v>4.8614516329313471</c:v>
                </c:pt>
                <c:pt idx="15">
                  <c:v>5.0034367185472153</c:v>
                </c:pt>
                <c:pt idx="16">
                  <c:v>5.3914154569205177</c:v>
                </c:pt>
                <c:pt idx="17">
                  <c:v>5.782876953047845</c:v>
                </c:pt>
                <c:pt idx="18">
                  <c:v>6.1779285104481128</c:v>
                </c:pt>
                <c:pt idx="19">
                  <c:v>6.5768947456136617</c:v>
                </c:pt>
                <c:pt idx="20">
                  <c:v>6.7138591821297142</c:v>
                </c:pt>
                <c:pt idx="21">
                  <c:v>6.8534093863009415</c:v>
                </c:pt>
                <c:pt idx="22">
                  <c:v>6.9956248406231314</c:v>
                </c:pt>
                <c:pt idx="23">
                  <c:v>7.1404739795207535</c:v>
                </c:pt>
                <c:pt idx="24">
                  <c:v>7.2879796881046879</c:v>
                </c:pt>
                <c:pt idx="25">
                  <c:v>7.4362392884536579</c:v>
                </c:pt>
                <c:pt idx="26">
                  <c:v>7.5879734104867502</c:v>
                </c:pt>
                <c:pt idx="27">
                  <c:v>7.7420469982522038</c:v>
                </c:pt>
                <c:pt idx="28">
                  <c:v>7.8985368556744318</c:v>
                </c:pt>
                <c:pt idx="29">
                  <c:v>8.0574254530560125</c:v>
                </c:pt>
              </c:numCache>
            </c:numRef>
          </c:val>
          <c:extLst>
            <c:ext xmlns:c16="http://schemas.microsoft.com/office/drawing/2014/chart" uri="{C3380CC4-5D6E-409C-BE32-E72D297353CC}">
              <c16:uniqueId val="{00000002-0B79-4F05-A1ED-B28F9B82FD21}"/>
            </c:ext>
          </c:extLst>
        </c:ser>
        <c:ser>
          <c:idx val="3"/>
          <c:order val="3"/>
          <c:tx>
            <c:strRef>
              <c:f>Output!$G$20</c:f>
              <c:strCache>
                <c:ptCount val="1"/>
                <c:pt idx="0">
                  <c:v>April</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Output!$H$20:$AK$20</c:f>
              <c:numCache>
                <c:formatCode>"$"#,##0.00</c:formatCode>
                <c:ptCount val="30"/>
                <c:pt idx="0">
                  <c:v>1.5046829444660628</c:v>
                </c:pt>
                <c:pt idx="1">
                  <c:v>2.393739089614987</c:v>
                </c:pt>
                <c:pt idx="2">
                  <c:v>3.2836675344246515</c:v>
                </c:pt>
                <c:pt idx="3">
                  <c:v>3.5336837996792232</c:v>
                </c:pt>
                <c:pt idx="4">
                  <c:v>3.785120128812014</c:v>
                </c:pt>
                <c:pt idx="5">
                  <c:v>4.0378480268353494</c:v>
                </c:pt>
                <c:pt idx="6">
                  <c:v>3.888666109080738</c:v>
                </c:pt>
                <c:pt idx="7">
                  <c:v>3.7410784662037937</c:v>
                </c:pt>
                <c:pt idx="8">
                  <c:v>3.5951313823096731</c:v>
                </c:pt>
                <c:pt idx="9">
                  <c:v>3.4510144342337501</c:v>
                </c:pt>
                <c:pt idx="10">
                  <c:v>3.3085642260344961</c:v>
                </c:pt>
                <c:pt idx="11">
                  <c:v>3.4182783119472417</c:v>
                </c:pt>
                <c:pt idx="12">
                  <c:v>3.5304692935877973</c:v>
                </c:pt>
                <c:pt idx="13">
                  <c:v>3.6450731179615095</c:v>
                </c:pt>
                <c:pt idx="14">
                  <c:v>3.7622398340379273</c:v>
                </c:pt>
                <c:pt idx="15">
                  <c:v>3.8822208692197795</c:v>
                </c:pt>
                <c:pt idx="16">
                  <c:v>4.2477525371933984</c:v>
                </c:pt>
                <c:pt idx="17">
                  <c:v>4.6163178067257151</c:v>
                </c:pt>
                <c:pt idx="18">
                  <c:v>4.9880119822495175</c:v>
                </c:pt>
                <c:pt idx="19">
                  <c:v>5.3631559472863461</c:v>
                </c:pt>
                <c:pt idx="20">
                  <c:v>5.4758174585559392</c:v>
                </c:pt>
                <c:pt idx="21">
                  <c:v>5.5905802607111541</c:v>
                </c:pt>
                <c:pt idx="22">
                  <c:v>5.7075087194575742</c:v>
                </c:pt>
                <c:pt idx="23">
                  <c:v>5.8265655883019338</c:v>
                </c:pt>
                <c:pt idx="24">
                  <c:v>5.9477614550332802</c:v>
                </c:pt>
                <c:pt idx="25">
                  <c:v>6.0692207375276119</c:v>
                </c:pt>
                <c:pt idx="26">
                  <c:v>6.193601608160451</c:v>
                </c:pt>
                <c:pt idx="27">
                  <c:v>6.3197944964783659</c:v>
                </c:pt>
                <c:pt idx="28">
                  <c:v>6.4478455088214632</c:v>
                </c:pt>
                <c:pt idx="29">
                  <c:v>6.5777307270850134</c:v>
                </c:pt>
              </c:numCache>
            </c:numRef>
          </c:val>
          <c:extLst>
            <c:ext xmlns:c16="http://schemas.microsoft.com/office/drawing/2014/chart" uri="{C3380CC4-5D6E-409C-BE32-E72D297353CC}">
              <c16:uniqueId val="{00000003-0B79-4F05-A1ED-B28F9B82FD21}"/>
            </c:ext>
          </c:extLst>
        </c:ser>
        <c:ser>
          <c:idx val="4"/>
          <c:order val="4"/>
          <c:tx>
            <c:strRef>
              <c:f>Output!$G$21</c:f>
              <c:strCache>
                <c:ptCount val="1"/>
                <c:pt idx="0">
                  <c:v>May</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p3d contourW="9525">
              <a:contourClr>
                <a:schemeClr val="accent5">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Output!$H$21:$AK$21</c:f>
              <c:numCache>
                <c:formatCode>"$"#,##0.00</c:formatCode>
                <c:ptCount val="30"/>
                <c:pt idx="0">
                  <c:v>1.5237708604073545</c:v>
                </c:pt>
                <c:pt idx="1">
                  <c:v>2.4132120419954286</c:v>
                </c:pt>
                <c:pt idx="2">
                  <c:v>3.3035481431841252</c:v>
                </c:pt>
                <c:pt idx="3">
                  <c:v>3.5539752310902895</c:v>
                </c:pt>
                <c:pt idx="4">
                  <c:v>3.8058169866036855</c:v>
                </c:pt>
                <c:pt idx="5">
                  <c:v>4.0589626208262901</c:v>
                </c:pt>
                <c:pt idx="6">
                  <c:v>3.9102270943425377</c:v>
                </c:pt>
                <c:pt idx="7">
                  <c:v>3.7630661135322119</c:v>
                </c:pt>
                <c:pt idx="8">
                  <c:v>3.6176066638683868</c:v>
                </c:pt>
                <c:pt idx="9">
                  <c:v>3.4739171100337893</c:v>
                </c:pt>
                <c:pt idx="10">
                  <c:v>3.331948906352673</c:v>
                </c:pt>
                <c:pt idx="11">
                  <c:v>3.4421844334477107</c:v>
                </c:pt>
                <c:pt idx="12">
                  <c:v>3.5548978560320923</c:v>
                </c:pt>
                <c:pt idx="13">
                  <c:v>3.6700414759275053</c:v>
                </c:pt>
                <c:pt idx="14">
                  <c:v>3.7877428104615474</c:v>
                </c:pt>
                <c:pt idx="15">
                  <c:v>3.9082871511226136</c:v>
                </c:pt>
                <c:pt idx="16">
                  <c:v>4.2743905733476169</c:v>
                </c:pt>
                <c:pt idx="17">
                  <c:v>4.6435429376666031</c:v>
                </c:pt>
                <c:pt idx="18">
                  <c:v>5.0158367154424663</c:v>
                </c:pt>
                <c:pt idx="19">
                  <c:v>5.3915953403041472</c:v>
                </c:pt>
                <c:pt idx="20">
                  <c:v>5.5048838785969911</c:v>
                </c:pt>
                <c:pt idx="21">
                  <c:v>5.6202925705815883</c:v>
                </c:pt>
                <c:pt idx="22">
                  <c:v>5.7378818090616601</c:v>
                </c:pt>
                <c:pt idx="23">
                  <c:v>5.857614808493004</c:v>
                </c:pt>
                <c:pt idx="24">
                  <c:v>5.9794985578155933</c:v>
                </c:pt>
                <c:pt idx="25">
                  <c:v>6.1015952589663307</c:v>
                </c:pt>
                <c:pt idx="26">
                  <c:v>6.2266475614165913</c:v>
                </c:pt>
                <c:pt idx="27">
                  <c:v>6.3535225332302785</c:v>
                </c:pt>
                <c:pt idx="28">
                  <c:v>6.4822465140874943</c:v>
                </c:pt>
                <c:pt idx="29">
                  <c:v>6.6127970592333556</c:v>
                </c:pt>
              </c:numCache>
            </c:numRef>
          </c:val>
          <c:extLst>
            <c:ext xmlns:c16="http://schemas.microsoft.com/office/drawing/2014/chart" uri="{C3380CC4-5D6E-409C-BE32-E72D297353CC}">
              <c16:uniqueId val="{00000004-0B79-4F05-A1ED-B28F9B82FD21}"/>
            </c:ext>
          </c:extLst>
        </c:ser>
        <c:ser>
          <c:idx val="5"/>
          <c:order val="5"/>
          <c:tx>
            <c:strRef>
              <c:f>Output!$G$22</c:f>
              <c:strCache>
                <c:ptCount val="1"/>
                <c:pt idx="0">
                  <c:v>June</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p3d contourW="9525">
              <a:contourClr>
                <a:schemeClr val="accent6">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Output!$H$22:$AK$22</c:f>
              <c:numCache>
                <c:formatCode>"$"#,##0.00</c:formatCode>
                <c:ptCount val="30"/>
                <c:pt idx="0">
                  <c:v>1.538437680992488</c:v>
                </c:pt>
                <c:pt idx="1">
                  <c:v>2.4281727873982315</c:v>
                </c:pt>
                <c:pt idx="2">
                  <c:v>3.3188259202888819</c:v>
                </c:pt>
                <c:pt idx="3">
                  <c:v>3.569570706224158</c:v>
                </c:pt>
                <c:pt idx="4">
                  <c:v>3.8217221151671219</c:v>
                </c:pt>
                <c:pt idx="5">
                  <c:v>4.0751884280109332</c:v>
                </c:pt>
                <c:pt idx="6">
                  <c:v>3.9267996513766872</c:v>
                </c:pt>
                <c:pt idx="7">
                  <c:v>3.7799604220171781</c:v>
                </c:pt>
                <c:pt idx="8">
                  <c:v>3.634883395523659</c:v>
                </c:pt>
                <c:pt idx="9">
                  <c:v>3.4915089240519759</c:v>
                </c:pt>
                <c:pt idx="10">
                  <c:v>3.3499125895845383</c:v>
                </c:pt>
                <c:pt idx="11">
                  <c:v>3.4605561336048143</c:v>
                </c:pt>
                <c:pt idx="12">
                  <c:v>3.5736721301241614</c:v>
                </c:pt>
                <c:pt idx="13">
                  <c:v>3.6892317350013868</c:v>
                </c:pt>
                <c:pt idx="14">
                  <c:v>3.8073395636792999</c:v>
                </c:pt>
                <c:pt idx="15">
                  <c:v>3.9283180432406732</c:v>
                </c:pt>
                <c:pt idx="16">
                  <c:v>4.2948612914853781</c:v>
                </c:pt>
                <c:pt idx="17">
                  <c:v>4.6644656107555296</c:v>
                </c:pt>
                <c:pt idx="18">
                  <c:v>5.037220425997341</c:v>
                </c:pt>
                <c:pt idx="19">
                  <c:v>5.4134523891502297</c:v>
                </c:pt>
                <c:pt idx="20">
                  <c:v>5.5272229913209756</c:v>
                </c:pt>
                <c:pt idx="21">
                  <c:v>5.6431291520751019</c:v>
                </c:pt>
                <c:pt idx="22">
                  <c:v>5.7612267767375629</c:v>
                </c:pt>
                <c:pt idx="23">
                  <c:v>5.8814802635034837</c:v>
                </c:pt>
                <c:pt idx="24">
                  <c:v>6.0038930503034571</c:v>
                </c:pt>
                <c:pt idx="25">
                  <c:v>6.1264807272701374</c:v>
                </c:pt>
                <c:pt idx="26">
                  <c:v>6.2520489560658659</c:v>
                </c:pt>
                <c:pt idx="27">
                  <c:v>6.3794515257593547</c:v>
                </c:pt>
                <c:pt idx="28">
                  <c:v>6.5086938978105664</c:v>
                </c:pt>
                <c:pt idx="29">
                  <c:v>6.6397557865807739</c:v>
                </c:pt>
              </c:numCache>
            </c:numRef>
          </c:val>
          <c:extLst>
            <c:ext xmlns:c16="http://schemas.microsoft.com/office/drawing/2014/chart" uri="{C3380CC4-5D6E-409C-BE32-E72D297353CC}">
              <c16:uniqueId val="{00000005-0B79-4F05-A1ED-B28F9B82FD21}"/>
            </c:ext>
          </c:extLst>
        </c:ser>
        <c:ser>
          <c:idx val="6"/>
          <c:order val="6"/>
          <c:tx>
            <c:strRef>
              <c:f>Output!$G$23</c:f>
              <c:strCache>
                <c:ptCount val="1"/>
                <c:pt idx="0">
                  <c:v>July</c:v>
                </c:pt>
              </c:strCache>
            </c:strRef>
          </c:tx>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p3d contourW="9525">
              <a:contourClr>
                <a:schemeClr val="accent1">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Output!$H$23:$AK$23</c:f>
              <c:numCache>
                <c:formatCode>"$"#,##0.00</c:formatCode>
                <c:ptCount val="30"/>
                <c:pt idx="0">
                  <c:v>1.5430411806039837</c:v>
                </c:pt>
                <c:pt idx="1">
                  <c:v>2.4328636352261461</c:v>
                </c:pt>
                <c:pt idx="2">
                  <c:v>3.3236259225581035</c:v>
                </c:pt>
                <c:pt idx="3">
                  <c:v>3.5744755820940775</c:v>
                </c:pt>
                <c:pt idx="4">
                  <c:v>3.8267194319165285</c:v>
                </c:pt>
                <c:pt idx="5">
                  <c:v>4.0802856276938488</c:v>
                </c:pt>
                <c:pt idx="6">
                  <c:v>3.9320152186463417</c:v>
                </c:pt>
                <c:pt idx="7">
                  <c:v>3.7852615040141342</c:v>
                </c:pt>
                <c:pt idx="8">
                  <c:v>3.6403241651121587</c:v>
                </c:pt>
                <c:pt idx="9">
                  <c:v>3.4970147349376761</c:v>
                </c:pt>
                <c:pt idx="10">
                  <c:v>3.3555389457833686</c:v>
                </c:pt>
                <c:pt idx="11">
                  <c:v>3.4663292373238654</c:v>
                </c:pt>
                <c:pt idx="12">
                  <c:v>3.5795744864669214</c:v>
                </c:pt>
                <c:pt idx="13">
                  <c:v>3.6952677467150452</c:v>
                </c:pt>
                <c:pt idx="14">
                  <c:v>3.8134922402205533</c:v>
                </c:pt>
                <c:pt idx="15">
                  <c:v>3.9346103000660353</c:v>
                </c:pt>
                <c:pt idx="16">
                  <c:v>4.3012928682012213</c:v>
                </c:pt>
                <c:pt idx="17">
                  <c:v>4.6710411823367082</c:v>
                </c:pt>
                <c:pt idx="18">
                  <c:v>5.0439415012046087</c:v>
                </c:pt>
                <c:pt idx="19">
                  <c:v>5.4203246864082715</c:v>
                </c:pt>
                <c:pt idx="20">
                  <c:v>5.534247274117357</c:v>
                </c:pt>
                <c:pt idx="21">
                  <c:v>5.6503125710921145</c:v>
                </c:pt>
                <c:pt idx="22">
                  <c:v>5.7685714275207118</c:v>
                </c:pt>
                <c:pt idx="23">
                  <c:v>5.8889907215535766</c:v>
                </c:pt>
                <c:pt idx="24">
                  <c:v>6.0115707795650959</c:v>
                </c:pt>
                <c:pt idx="25">
                  <c:v>6.1343155958389719</c:v>
                </c:pt>
                <c:pt idx="26">
                  <c:v>6.2600457844310862</c:v>
                </c:pt>
                <c:pt idx="27">
                  <c:v>6.3876228398474773</c:v>
                </c:pt>
                <c:pt idx="28">
                  <c:v>6.5170312089812974</c:v>
                </c:pt>
                <c:pt idx="29">
                  <c:v>6.6482538941756513</c:v>
                </c:pt>
              </c:numCache>
            </c:numRef>
          </c:val>
          <c:extLst>
            <c:ext xmlns:c16="http://schemas.microsoft.com/office/drawing/2014/chart" uri="{C3380CC4-5D6E-409C-BE32-E72D297353CC}">
              <c16:uniqueId val="{00000006-0B79-4F05-A1ED-B28F9B82FD21}"/>
            </c:ext>
          </c:extLst>
        </c:ser>
        <c:ser>
          <c:idx val="7"/>
          <c:order val="7"/>
          <c:tx>
            <c:strRef>
              <c:f>Output!$G$24</c:f>
              <c:strCache>
                <c:ptCount val="1"/>
                <c:pt idx="0">
                  <c:v>August</c:v>
                </c:pt>
              </c:strCache>
            </c:strRef>
          </c:tx>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p3d contourW="9525">
              <a:contourClr>
                <a:schemeClr val="accent2">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Output!$H$24:$AK$24</c:f>
              <c:numCache>
                <c:formatCode>"$"#,##0.00</c:formatCode>
                <c:ptCount val="30"/>
                <c:pt idx="0">
                  <c:v>1.5384846155250527</c:v>
                </c:pt>
                <c:pt idx="1">
                  <c:v>2.4282067030742414</c:v>
                </c:pt>
                <c:pt idx="2">
                  <c:v>3.318888297761545</c:v>
                </c:pt>
                <c:pt idx="3">
                  <c:v>3.569648773122239</c:v>
                </c:pt>
                <c:pt idx="4">
                  <c:v>3.8217876570861322</c:v>
                </c:pt>
                <c:pt idx="5">
                  <c:v>4.0752528082142438</c:v>
                </c:pt>
                <c:pt idx="6">
                  <c:v>3.9268922625985185</c:v>
                </c:pt>
                <c:pt idx="7">
                  <c:v>3.7800100377559778</c:v>
                </c:pt>
                <c:pt idx="8">
                  <c:v>3.6349901579656714</c:v>
                </c:pt>
                <c:pt idx="9">
                  <c:v>3.4915203759544271</c:v>
                </c:pt>
                <c:pt idx="10">
                  <c:v>3.3499361171669548</c:v>
                </c:pt>
                <c:pt idx="11">
                  <c:v>3.4606341208537308</c:v>
                </c:pt>
                <c:pt idx="12">
                  <c:v>3.5737596452643356</c:v>
                </c:pt>
                <c:pt idx="13">
                  <c:v>3.6893293711918407</c:v>
                </c:pt>
                <c:pt idx="14">
                  <c:v>3.8074074258620696</c:v>
                </c:pt>
                <c:pt idx="15">
                  <c:v>3.9283967301582217</c:v>
                </c:pt>
                <c:pt idx="16">
                  <c:v>4.294945001888582</c:v>
                </c:pt>
                <c:pt idx="17">
                  <c:v>4.6645568531482695</c:v>
                </c:pt>
                <c:pt idx="18">
                  <c:v>5.0373154113502876</c:v>
                </c:pt>
                <c:pt idx="19">
                  <c:v>5.4135564417482964</c:v>
                </c:pt>
                <c:pt idx="20">
                  <c:v>5.5273305193434448</c:v>
                </c:pt>
                <c:pt idx="21">
                  <c:v>5.6432467927420724</c:v>
                </c:pt>
                <c:pt idx="22">
                  <c:v>5.7613507777956787</c:v>
                </c:pt>
                <c:pt idx="23">
                  <c:v>5.8816128751597727</c:v>
                </c:pt>
                <c:pt idx="24">
                  <c:v>6.0040308297262825</c:v>
                </c:pt>
                <c:pt idx="25">
                  <c:v>6.1266287153254293</c:v>
                </c:pt>
                <c:pt idx="26">
                  <c:v>6.2521986666016875</c:v>
                </c:pt>
                <c:pt idx="27">
                  <c:v>6.3796282111124931</c:v>
                </c:pt>
                <c:pt idx="28">
                  <c:v>6.5088815989551012</c:v>
                </c:pt>
                <c:pt idx="29">
                  <c:v>6.6399459779870726</c:v>
                </c:pt>
              </c:numCache>
            </c:numRef>
          </c:val>
          <c:extLst>
            <c:ext xmlns:c16="http://schemas.microsoft.com/office/drawing/2014/chart" uri="{C3380CC4-5D6E-409C-BE32-E72D297353CC}">
              <c16:uniqueId val="{00000007-0B79-4F05-A1ED-B28F9B82FD21}"/>
            </c:ext>
          </c:extLst>
        </c:ser>
        <c:ser>
          <c:idx val="8"/>
          <c:order val="8"/>
          <c:tx>
            <c:strRef>
              <c:f>Output!$G$25</c:f>
              <c:strCache>
                <c:ptCount val="1"/>
                <c:pt idx="0">
                  <c:v>September</c:v>
                </c:pt>
              </c:strCache>
            </c:strRef>
          </c:tx>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p3d contourW="9525">
              <a:contourClr>
                <a:schemeClr val="accent3">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Output!$H$25:$AK$25</c:f>
              <c:numCache>
                <c:formatCode>"$"#,##0.00</c:formatCode>
                <c:ptCount val="30"/>
                <c:pt idx="0">
                  <c:v>1.5466624354273517</c:v>
                </c:pt>
                <c:pt idx="1">
                  <c:v>0</c:v>
                </c:pt>
                <c:pt idx="2">
                  <c:v>3.3274101405359984</c:v>
                </c:pt>
                <c:pt idx="3">
                  <c:v>3.5783514218897965</c:v>
                </c:pt>
                <c:pt idx="4">
                  <c:v>3.8306595830236048</c:v>
                </c:pt>
                <c:pt idx="5">
                  <c:v>4.0843029891401068</c:v>
                </c:pt>
                <c:pt idx="6">
                  <c:v>3.9361425585036067</c:v>
                </c:pt>
                <c:pt idx="7">
                  <c:v>3.7894287331577776</c:v>
                </c:pt>
                <c:pt idx="8">
                  <c:v>3.644636055327056</c:v>
                </c:pt>
                <c:pt idx="9">
                  <c:v>3.5013178879163012</c:v>
                </c:pt>
                <c:pt idx="10">
                  <c:v>3.3599436932352842</c:v>
                </c:pt>
                <c:pt idx="11">
                  <c:v>3.4708824774006701</c:v>
                </c:pt>
                <c:pt idx="12">
                  <c:v>3.5842345248791005</c:v>
                </c:pt>
                <c:pt idx="13">
                  <c:v>3.7000383889958202</c:v>
                </c:pt>
                <c:pt idx="14">
                  <c:v>3.8183353292131841</c:v>
                </c:pt>
                <c:pt idx="15">
                  <c:v>3.9395690551402498</c:v>
                </c:pt>
                <c:pt idx="16">
                  <c:v>4.3063634654052603</c:v>
                </c:pt>
                <c:pt idx="17">
                  <c:v>4.676228835052072</c:v>
                </c:pt>
                <c:pt idx="18">
                  <c:v>5.0492450217943645</c:v>
                </c:pt>
                <c:pt idx="19">
                  <c:v>5.4257518598574679</c:v>
                </c:pt>
                <c:pt idx="20">
                  <c:v>5.5397952060875255</c:v>
                </c:pt>
                <c:pt idx="21">
                  <c:v>5.6559909835640214</c:v>
                </c:pt>
                <c:pt idx="22">
                  <c:v>5.7743796136597574</c:v>
                </c:pt>
                <c:pt idx="23">
                  <c:v>5.894933655912233</c:v>
                </c:pt>
                <c:pt idx="24">
                  <c:v>6.0176474556126811</c:v>
                </c:pt>
                <c:pt idx="25">
                  <c:v>6.1405212541712508</c:v>
                </c:pt>
                <c:pt idx="26">
                  <c:v>6.2663788897965684</c:v>
                </c:pt>
                <c:pt idx="27">
                  <c:v>6.3941089267412234</c:v>
                </c:pt>
                <c:pt idx="28">
                  <c:v>6.5236536933720872</c:v>
                </c:pt>
                <c:pt idx="29">
                  <c:v>6.6550033970588567</c:v>
                </c:pt>
              </c:numCache>
            </c:numRef>
          </c:val>
          <c:extLst>
            <c:ext xmlns:c16="http://schemas.microsoft.com/office/drawing/2014/chart" uri="{C3380CC4-5D6E-409C-BE32-E72D297353CC}">
              <c16:uniqueId val="{00000008-0B79-4F05-A1ED-B28F9B82FD21}"/>
            </c:ext>
          </c:extLst>
        </c:ser>
        <c:ser>
          <c:idx val="9"/>
          <c:order val="9"/>
          <c:tx>
            <c:strRef>
              <c:f>Output!$G$26</c:f>
              <c:strCache>
                <c:ptCount val="1"/>
                <c:pt idx="0">
                  <c:v>October</c:v>
                </c:pt>
              </c:strCache>
            </c:strRef>
          </c:tx>
          <c:spPr>
            <a:gradFill rotWithShape="1">
              <a:gsLst>
                <a:gs pos="0">
                  <a:schemeClr val="accent4">
                    <a:lumMod val="60000"/>
                    <a:tint val="50000"/>
                    <a:satMod val="300000"/>
                  </a:schemeClr>
                </a:gs>
                <a:gs pos="35000">
                  <a:schemeClr val="accent4">
                    <a:lumMod val="60000"/>
                    <a:tint val="37000"/>
                    <a:satMod val="300000"/>
                  </a:schemeClr>
                </a:gs>
                <a:gs pos="100000">
                  <a:schemeClr val="accent4">
                    <a:lumMod val="60000"/>
                    <a:tint val="15000"/>
                    <a:satMod val="350000"/>
                  </a:schemeClr>
                </a:gs>
              </a:gsLst>
              <a:lin ang="16200000" scaled="1"/>
            </a:gradFill>
            <a:ln w="9525" cap="flat" cmpd="sng" algn="ctr">
              <a:solidFill>
                <a:schemeClr val="accent4">
                  <a:lumMod val="60000"/>
                  <a:shade val="95000"/>
                </a:schemeClr>
              </a:solidFill>
              <a:round/>
            </a:ln>
            <a:effectLst>
              <a:outerShdw blurRad="40000" dist="20000" dir="5400000" rotWithShape="0">
                <a:srgbClr val="000000">
                  <a:alpha val="38000"/>
                </a:srgbClr>
              </a:outerShdw>
            </a:effectLst>
            <a:sp3d contourW="9525">
              <a:contourClr>
                <a:schemeClr val="accent4">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Output!$H$26:$AK$26</c:f>
              <c:numCache>
                <c:formatCode>"$"#,##0.00</c:formatCode>
                <c:ptCount val="30"/>
                <c:pt idx="0">
                  <c:v>1.5432370144935863</c:v>
                </c:pt>
                <c:pt idx="1">
                  <c:v>2.4330423346152057</c:v>
                </c:pt>
                <c:pt idx="2">
                  <c:v>3.3238502616575363</c:v>
                </c:pt>
                <c:pt idx="3">
                  <c:v>3.574726298332557</c:v>
                </c:pt>
                <c:pt idx="4">
                  <c:v>3.8269538927926816</c:v>
                </c:pt>
                <c:pt idx="5">
                  <c:v>4.0805210696808754</c:v>
                </c:pt>
                <c:pt idx="6">
                  <c:v>3.9322962055302808</c:v>
                </c:pt>
                <c:pt idx="7">
                  <c:v>3.7854803712168947</c:v>
                </c:pt>
                <c:pt idx="8">
                  <c:v>3.6406325031806142</c:v>
                </c:pt>
                <c:pt idx="9">
                  <c:v>3.4971819745843895</c:v>
                </c:pt>
                <c:pt idx="10">
                  <c:v>3.3557275727030231</c:v>
                </c:pt>
                <c:pt idx="11">
                  <c:v>3.4666034996536146</c:v>
                </c:pt>
                <c:pt idx="12">
                  <c:v>3.5798665542509611</c:v>
                </c:pt>
                <c:pt idx="13">
                  <c:v>3.6955786291102233</c:v>
                </c:pt>
                <c:pt idx="14">
                  <c:v>3.8137616710981508</c:v>
                </c:pt>
                <c:pt idx="15">
                  <c:v>3.9348997618802302</c:v>
                </c:pt>
                <c:pt idx="16">
                  <c:v>4.3015936577351921</c:v>
                </c:pt>
                <c:pt idx="17">
                  <c:v>4.6713571872848618</c:v>
                </c:pt>
                <c:pt idx="18">
                  <c:v>5.0442670829060701</c:v>
                </c:pt>
                <c:pt idx="19">
                  <c:v>5.4206679818774681</c:v>
                </c:pt>
                <c:pt idx="20">
                  <c:v>5.5345999219805035</c:v>
                </c:pt>
                <c:pt idx="21">
                  <c:v>5.6506847155034476</c:v>
                </c:pt>
                <c:pt idx="22">
                  <c:v>5.768957500940961</c:v>
                </c:pt>
                <c:pt idx="23">
                  <c:v>5.8893942217766959</c:v>
                </c:pt>
                <c:pt idx="24">
                  <c:v>6.0119865856617762</c:v>
                </c:pt>
                <c:pt idx="25">
                  <c:v>6.1347509879402455</c:v>
                </c:pt>
                <c:pt idx="26">
                  <c:v>6.2604881731199509</c:v>
                </c:pt>
                <c:pt idx="27">
                  <c:v>6.3881104200024552</c:v>
                </c:pt>
                <c:pt idx="28">
                  <c:v>6.5175398265170337</c:v>
                </c:pt>
                <c:pt idx="29">
                  <c:v>6.6487706274989344</c:v>
                </c:pt>
              </c:numCache>
            </c:numRef>
          </c:val>
          <c:extLst>
            <c:ext xmlns:c16="http://schemas.microsoft.com/office/drawing/2014/chart" uri="{C3380CC4-5D6E-409C-BE32-E72D297353CC}">
              <c16:uniqueId val="{00000009-0B79-4F05-A1ED-B28F9B82FD21}"/>
            </c:ext>
          </c:extLst>
        </c:ser>
        <c:ser>
          <c:idx val="10"/>
          <c:order val="10"/>
          <c:tx>
            <c:strRef>
              <c:f>Output!$G$27</c:f>
              <c:strCache>
                <c:ptCount val="1"/>
                <c:pt idx="0">
                  <c:v>November</c:v>
                </c:pt>
              </c:strCache>
            </c:strRef>
          </c:tx>
          <c:spPr>
            <a:gradFill rotWithShape="1">
              <a:gsLst>
                <a:gs pos="0">
                  <a:schemeClr val="accent5">
                    <a:lumMod val="60000"/>
                    <a:tint val="50000"/>
                    <a:satMod val="300000"/>
                  </a:schemeClr>
                </a:gs>
                <a:gs pos="35000">
                  <a:schemeClr val="accent5">
                    <a:lumMod val="60000"/>
                    <a:tint val="37000"/>
                    <a:satMod val="300000"/>
                  </a:schemeClr>
                </a:gs>
                <a:gs pos="100000">
                  <a:schemeClr val="accent5">
                    <a:lumMod val="60000"/>
                    <a:tint val="15000"/>
                    <a:satMod val="350000"/>
                  </a:schemeClr>
                </a:gs>
              </a:gsLst>
              <a:lin ang="16200000" scaled="1"/>
            </a:gradFill>
            <a:ln w="9525" cap="flat" cmpd="sng" algn="ctr">
              <a:solidFill>
                <a:schemeClr val="accent5">
                  <a:lumMod val="60000"/>
                  <a:shade val="95000"/>
                </a:schemeClr>
              </a:solidFill>
              <a:round/>
            </a:ln>
            <a:effectLst>
              <a:outerShdw blurRad="40000" dist="20000" dir="5400000" rotWithShape="0">
                <a:srgbClr val="000000">
                  <a:alpha val="38000"/>
                </a:srgbClr>
              </a:outerShdw>
            </a:effectLst>
            <a:sp3d contourW="9525">
              <a:contourClr>
                <a:schemeClr val="accent5">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Output!$H$27:$AK$27</c:f>
              <c:numCache>
                <c:formatCode>"$"#,##0.00</c:formatCode>
                <c:ptCount val="30"/>
                <c:pt idx="0">
                  <c:v>2.416660923873132</c:v>
                </c:pt>
                <c:pt idx="1">
                  <c:v>3.3025436416508156</c:v>
                </c:pt>
                <c:pt idx="2">
                  <c:v>4.2107675376430196</c:v>
                </c:pt>
                <c:pt idx="3">
                  <c:v>4.4794011091494808</c:v>
                </c:pt>
                <c:pt idx="4">
                  <c:v>4.7497224636019348</c:v>
                </c:pt>
                <c:pt idx="5">
                  <c:v>5.0217509420908693</c:v>
                </c:pt>
                <c:pt idx="6">
                  <c:v>4.8923856446112781</c:v>
                </c:pt>
                <c:pt idx="7">
                  <c:v>4.7647674561789506</c:v>
                </c:pt>
                <c:pt idx="8">
                  <c:v>4.6395746446057711</c:v>
                </c:pt>
                <c:pt idx="9">
                  <c:v>4.516075393822736</c:v>
                </c:pt>
                <c:pt idx="10">
                  <c:v>4.3950345421178225</c:v>
                </c:pt>
                <c:pt idx="11">
                  <c:v>4.5267749776046973</c:v>
                </c:pt>
                <c:pt idx="12">
                  <c:v>4.6613083538184865</c:v>
                </c:pt>
                <c:pt idx="13">
                  <c:v>4.7987266320599939</c:v>
                </c:pt>
                <c:pt idx="14">
                  <c:v>4.9390282061307689</c:v>
                </c:pt>
                <c:pt idx="15">
                  <c:v>5.0827520008509097</c:v>
                </c:pt>
                <c:pt idx="16">
                  <c:v>5.4724794048773209</c:v>
                </c:pt>
                <c:pt idx="17">
                  <c:v>5.8657429014333751</c:v>
                </c:pt>
                <c:pt idx="18">
                  <c:v>6.2626241722989704</c:v>
                </c:pt>
                <c:pt idx="19">
                  <c:v>6.663480208991257</c:v>
                </c:pt>
                <c:pt idx="20">
                  <c:v>6.8023568608676666</c:v>
                </c:pt>
                <c:pt idx="21">
                  <c:v>6.9438944653846804</c:v>
                </c:pt>
                <c:pt idx="22">
                  <c:v>7.0881323624227974</c:v>
                </c:pt>
                <c:pt idx="23">
                  <c:v>7.2350566118623556</c:v>
                </c:pt>
                <c:pt idx="24">
                  <c:v>7.3846637873359269</c:v>
                </c:pt>
                <c:pt idx="25">
                  <c:v>7.5348853403026439</c:v>
                </c:pt>
                <c:pt idx="26">
                  <c:v>7.6886616928114426</c:v>
                </c:pt>
                <c:pt idx="27">
                  <c:v>7.8448781007662705</c:v>
                </c:pt>
                <c:pt idx="28">
                  <c:v>8.0034399749120606</c:v>
                </c:pt>
                <c:pt idx="29">
                  <c:v>8.1643543518710331</c:v>
                </c:pt>
              </c:numCache>
            </c:numRef>
          </c:val>
          <c:extLst>
            <c:ext xmlns:c16="http://schemas.microsoft.com/office/drawing/2014/chart" uri="{C3380CC4-5D6E-409C-BE32-E72D297353CC}">
              <c16:uniqueId val="{0000000A-0B79-4F05-A1ED-B28F9B82FD21}"/>
            </c:ext>
          </c:extLst>
        </c:ser>
        <c:ser>
          <c:idx val="11"/>
          <c:order val="11"/>
          <c:tx>
            <c:strRef>
              <c:f>Output!$G$28</c:f>
              <c:strCache>
                <c:ptCount val="1"/>
                <c:pt idx="0">
                  <c:v>December</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a:sp3d contourW="9525">
              <a:contourClr>
                <a:schemeClr val="accent6">
                  <a:lumMod val="60000"/>
                  <a:shade val="95000"/>
                </a:schemeClr>
              </a:contourClr>
            </a:sp3d>
          </c:spP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Output!$H$28:$AK$28</c:f>
              <c:numCache>
                <c:formatCode>"$"#,##0.00</c:formatCode>
                <c:ptCount val="30"/>
                <c:pt idx="0">
                  <c:v>2.4215994282364779</c:v>
                </c:pt>
                <c:pt idx="1">
                  <c:v>3.307575651846824</c:v>
                </c:pt>
                <c:pt idx="2">
                  <c:v>4.2159170366563261</c:v>
                </c:pt>
                <c:pt idx="3">
                  <c:v>4.4846633226288466</c:v>
                </c:pt>
                <c:pt idx="4">
                  <c:v>4.755083652497837</c:v>
                </c:pt>
                <c:pt idx="5">
                  <c:v>5.0272192514077831</c:v>
                </c:pt>
                <c:pt idx="6">
                  <c:v>4.8979813217052248</c:v>
                </c:pt>
                <c:pt idx="7">
                  <c:v>4.7704542438728437</c:v>
                </c:pt>
                <c:pt idx="8">
                  <c:v>4.6454120818839897</c:v>
                </c:pt>
                <c:pt idx="9">
                  <c:v>4.5219812334039426</c:v>
                </c:pt>
                <c:pt idx="10">
                  <c:v>4.4010698543843656</c:v>
                </c:pt>
                <c:pt idx="11">
                  <c:v>4.5329684737011959</c:v>
                </c:pt>
                <c:pt idx="12">
                  <c:v>4.6676406258614636</c:v>
                </c:pt>
                <c:pt idx="13">
                  <c:v>4.8052024110310798</c:v>
                </c:pt>
                <c:pt idx="14">
                  <c:v>4.9456286971402728</c:v>
                </c:pt>
                <c:pt idx="15">
                  <c:v>5.0895023640652024</c:v>
                </c:pt>
                <c:pt idx="16">
                  <c:v>5.4793792780492669</c:v>
                </c:pt>
                <c:pt idx="17">
                  <c:v>5.8727973349273199</c:v>
                </c:pt>
                <c:pt idx="18">
                  <c:v>6.2698347302780464</c:v>
                </c:pt>
                <c:pt idx="19">
                  <c:v>6.6708531013092651</c:v>
                </c:pt>
                <c:pt idx="20">
                  <c:v>6.8098928265133098</c:v>
                </c:pt>
                <c:pt idx="21">
                  <c:v>6.9516012692599132</c:v>
                </c:pt>
                <c:pt idx="22">
                  <c:v>7.0960121986171236</c:v>
                </c:pt>
                <c:pt idx="23">
                  <c:v>7.2431144203487277</c:v>
                </c:pt>
                <c:pt idx="24">
                  <c:v>7.3929010891561964</c:v>
                </c:pt>
                <c:pt idx="25">
                  <c:v>7.5432913397836234</c:v>
                </c:pt>
                <c:pt idx="26">
                  <c:v>7.6972414392061097</c:v>
                </c:pt>
                <c:pt idx="27">
                  <c:v>7.8536453907490307</c:v>
                </c:pt>
                <c:pt idx="28">
                  <c:v>8.0123854751758365</c:v>
                </c:pt>
                <c:pt idx="29">
                  <c:v>8.173472362162391</c:v>
                </c:pt>
              </c:numCache>
            </c:numRef>
          </c:val>
          <c:extLst>
            <c:ext xmlns:c16="http://schemas.microsoft.com/office/drawing/2014/chart" uri="{C3380CC4-5D6E-409C-BE32-E72D297353CC}">
              <c16:uniqueId val="{0000000B-0B79-4F05-A1ED-B28F9B82FD21}"/>
            </c:ext>
          </c:extLst>
        </c:ser>
        <c:bandFmts>
          <c:bandFmt>
            <c:idx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p3d contourW="9525">
                <a:contourClr>
                  <a:schemeClr val="accent2">
                    <a:shade val="95000"/>
                  </a:schemeClr>
                </a:contourClr>
              </a:sp3d>
            </c:spPr>
          </c:bandFmt>
          <c:bandFmt>
            <c:idx val="1"/>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p3d contourW="9525">
                <a:contourClr>
                  <a:schemeClr val="accent3">
                    <a:shade val="95000"/>
                  </a:schemeClr>
                </a:contourClr>
              </a:sp3d>
            </c:spPr>
          </c:bandFmt>
          <c:bandFmt>
            <c:idx val="2"/>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bandFmt>
          <c:bandFmt>
            <c:idx val="3"/>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p3d contourW="9525">
                <a:contourClr>
                  <a:schemeClr val="accent5">
                    <a:shade val="95000"/>
                  </a:schemeClr>
                </a:contourClr>
              </a:sp3d>
            </c:spPr>
          </c:bandFmt>
          <c:bandFmt>
            <c:idx val="4"/>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p3d contourW="9525">
                <a:contourClr>
                  <a:schemeClr val="accent6">
                    <a:shade val="95000"/>
                  </a:schemeClr>
                </a:contourClr>
              </a:sp3d>
            </c:spPr>
          </c:bandFmt>
          <c:bandFmt>
            <c:idx val="5"/>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p3d contourW="9525">
                <a:contourClr>
                  <a:schemeClr val="accent1">
                    <a:lumMod val="60000"/>
                    <a:shade val="95000"/>
                  </a:schemeClr>
                </a:contourClr>
              </a:sp3d>
            </c:spPr>
          </c:bandFmt>
          <c:bandFmt>
            <c:idx val="6"/>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p3d contourW="9525">
                <a:contourClr>
                  <a:schemeClr val="accent2">
                    <a:lumMod val="60000"/>
                    <a:shade val="95000"/>
                  </a:schemeClr>
                </a:contourClr>
              </a:sp3d>
            </c:spPr>
          </c:bandFmt>
          <c:bandFmt>
            <c:idx val="7"/>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p3d contourW="9525">
                <a:contourClr>
                  <a:schemeClr val="accent3">
                    <a:lumMod val="60000"/>
                    <a:shade val="95000"/>
                  </a:schemeClr>
                </a:contourClr>
              </a:sp3d>
            </c:spPr>
          </c:bandFmt>
          <c:bandFmt>
            <c:idx val="8"/>
            <c:spPr>
              <a:gradFill rotWithShape="1">
                <a:gsLst>
                  <a:gs pos="0">
                    <a:schemeClr val="accent4">
                      <a:lumMod val="60000"/>
                      <a:tint val="50000"/>
                      <a:satMod val="300000"/>
                    </a:schemeClr>
                  </a:gs>
                  <a:gs pos="35000">
                    <a:schemeClr val="accent4">
                      <a:lumMod val="60000"/>
                      <a:tint val="37000"/>
                      <a:satMod val="300000"/>
                    </a:schemeClr>
                  </a:gs>
                  <a:gs pos="100000">
                    <a:schemeClr val="accent4">
                      <a:lumMod val="60000"/>
                      <a:tint val="15000"/>
                      <a:satMod val="350000"/>
                    </a:schemeClr>
                  </a:gs>
                </a:gsLst>
                <a:lin ang="16200000" scaled="1"/>
              </a:gradFill>
              <a:ln w="9525" cap="flat" cmpd="sng" algn="ctr">
                <a:solidFill>
                  <a:schemeClr val="accent4">
                    <a:lumMod val="60000"/>
                    <a:shade val="95000"/>
                  </a:schemeClr>
                </a:solidFill>
                <a:round/>
              </a:ln>
              <a:effectLst>
                <a:outerShdw blurRad="40000" dist="20000" dir="5400000" rotWithShape="0">
                  <a:srgbClr val="000000">
                    <a:alpha val="38000"/>
                  </a:srgbClr>
                </a:outerShdw>
              </a:effectLst>
              <a:sp3d contourW="9525">
                <a:contourClr>
                  <a:schemeClr val="accent4">
                    <a:lumMod val="60000"/>
                    <a:shade val="95000"/>
                  </a:schemeClr>
                </a:contourClr>
              </a:sp3d>
            </c:spPr>
          </c:bandFmt>
          <c:bandFmt>
            <c:idx val="9"/>
            <c:spPr>
              <a:gradFill rotWithShape="1">
                <a:gsLst>
                  <a:gs pos="0">
                    <a:schemeClr val="accent5">
                      <a:lumMod val="60000"/>
                      <a:tint val="50000"/>
                      <a:satMod val="300000"/>
                    </a:schemeClr>
                  </a:gs>
                  <a:gs pos="35000">
                    <a:schemeClr val="accent5">
                      <a:lumMod val="60000"/>
                      <a:tint val="37000"/>
                      <a:satMod val="300000"/>
                    </a:schemeClr>
                  </a:gs>
                  <a:gs pos="100000">
                    <a:schemeClr val="accent5">
                      <a:lumMod val="60000"/>
                      <a:tint val="15000"/>
                      <a:satMod val="350000"/>
                    </a:schemeClr>
                  </a:gs>
                </a:gsLst>
                <a:lin ang="16200000" scaled="1"/>
              </a:gradFill>
              <a:ln w="9525" cap="flat" cmpd="sng" algn="ctr">
                <a:solidFill>
                  <a:schemeClr val="accent5">
                    <a:lumMod val="60000"/>
                    <a:shade val="95000"/>
                  </a:schemeClr>
                </a:solidFill>
                <a:round/>
              </a:ln>
              <a:effectLst>
                <a:outerShdw blurRad="40000" dist="20000" dir="5400000" rotWithShape="0">
                  <a:srgbClr val="000000">
                    <a:alpha val="38000"/>
                  </a:srgbClr>
                </a:outerShdw>
              </a:effectLst>
              <a:sp3d contourW="9525">
                <a:contourClr>
                  <a:schemeClr val="accent5">
                    <a:lumMod val="60000"/>
                    <a:shade val="95000"/>
                  </a:schemeClr>
                </a:contourClr>
              </a:sp3d>
            </c:spPr>
          </c:bandFmt>
          <c:bandFmt>
            <c:idx val="10"/>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a:sp3d contourW="9525">
                <a:contourClr>
                  <a:schemeClr val="accent6">
                    <a:lumMod val="60000"/>
                    <a:shade val="95000"/>
                  </a:schemeClr>
                </a:contourClr>
              </a:sp3d>
            </c:spPr>
          </c:bandFmt>
          <c:bandFmt>
            <c:idx val="11"/>
            <c:spPr>
              <a:gradFill rotWithShape="1">
                <a:gsLst>
                  <a:gs pos="0">
                    <a:schemeClr val="accent1">
                      <a:lumMod val="80000"/>
                      <a:lumOff val="20000"/>
                      <a:tint val="50000"/>
                      <a:satMod val="300000"/>
                    </a:schemeClr>
                  </a:gs>
                  <a:gs pos="35000">
                    <a:schemeClr val="accent1">
                      <a:lumMod val="80000"/>
                      <a:lumOff val="20000"/>
                      <a:tint val="37000"/>
                      <a:satMod val="300000"/>
                    </a:schemeClr>
                  </a:gs>
                  <a:gs pos="100000">
                    <a:schemeClr val="accent1">
                      <a:lumMod val="80000"/>
                      <a:lumOff val="20000"/>
                      <a:tint val="15000"/>
                      <a:satMod val="350000"/>
                    </a:schemeClr>
                  </a:gs>
                </a:gsLst>
                <a:lin ang="16200000" scaled="1"/>
              </a:gradFill>
              <a:ln w="9525" cap="flat" cmpd="sng" algn="ctr">
                <a:solidFill>
                  <a:schemeClr val="accent1">
                    <a:lumMod val="80000"/>
                    <a:lumOff val="20000"/>
                    <a:shade val="95000"/>
                  </a:schemeClr>
                </a:solidFill>
                <a:round/>
              </a:ln>
              <a:effectLst>
                <a:outerShdw blurRad="40000" dist="20000" dir="5400000" rotWithShape="0">
                  <a:srgbClr val="000000">
                    <a:alpha val="38000"/>
                  </a:srgbClr>
                </a:outerShdw>
              </a:effectLst>
              <a:sp3d contourW="9525">
                <a:contourClr>
                  <a:schemeClr val="accent1">
                    <a:lumMod val="80000"/>
                    <a:lumOff val="20000"/>
                    <a:shade val="95000"/>
                  </a:schemeClr>
                </a:contourClr>
              </a:sp3d>
            </c:spPr>
          </c:bandFmt>
          <c:bandFmt>
            <c:idx val="12"/>
            <c:spPr>
              <a:gradFill rotWithShape="1">
                <a:gsLst>
                  <a:gs pos="0">
                    <a:schemeClr val="accent2">
                      <a:lumMod val="80000"/>
                      <a:lumOff val="20000"/>
                      <a:tint val="50000"/>
                      <a:satMod val="300000"/>
                    </a:schemeClr>
                  </a:gs>
                  <a:gs pos="35000">
                    <a:schemeClr val="accent2">
                      <a:lumMod val="80000"/>
                      <a:lumOff val="20000"/>
                      <a:tint val="37000"/>
                      <a:satMod val="300000"/>
                    </a:schemeClr>
                  </a:gs>
                  <a:gs pos="100000">
                    <a:schemeClr val="accent2">
                      <a:lumMod val="80000"/>
                      <a:lumOff val="20000"/>
                      <a:tint val="15000"/>
                      <a:satMod val="350000"/>
                    </a:schemeClr>
                  </a:gs>
                </a:gsLst>
                <a:lin ang="16200000" scaled="1"/>
              </a:gradFill>
              <a:ln w="9525" cap="flat" cmpd="sng" algn="ctr">
                <a:solidFill>
                  <a:schemeClr val="accent2">
                    <a:lumMod val="80000"/>
                    <a:lumOff val="20000"/>
                    <a:shade val="95000"/>
                  </a:schemeClr>
                </a:solidFill>
                <a:round/>
              </a:ln>
              <a:effectLst>
                <a:outerShdw blurRad="40000" dist="20000" dir="5400000" rotWithShape="0">
                  <a:srgbClr val="000000">
                    <a:alpha val="38000"/>
                  </a:srgbClr>
                </a:outerShdw>
              </a:effectLst>
              <a:sp3d contourW="9525">
                <a:contourClr>
                  <a:schemeClr val="accent2">
                    <a:lumMod val="80000"/>
                    <a:lumOff val="20000"/>
                    <a:shade val="95000"/>
                  </a:schemeClr>
                </a:contourClr>
              </a:sp3d>
            </c:spPr>
          </c:bandFmt>
          <c:bandFmt>
            <c:idx val="13"/>
            <c:spPr>
              <a:gradFill rotWithShape="1">
                <a:gsLst>
                  <a:gs pos="0">
                    <a:schemeClr val="accent3">
                      <a:lumMod val="80000"/>
                      <a:lumOff val="20000"/>
                      <a:tint val="50000"/>
                      <a:satMod val="300000"/>
                    </a:schemeClr>
                  </a:gs>
                  <a:gs pos="35000">
                    <a:schemeClr val="accent3">
                      <a:lumMod val="80000"/>
                      <a:lumOff val="20000"/>
                      <a:tint val="37000"/>
                      <a:satMod val="300000"/>
                    </a:schemeClr>
                  </a:gs>
                  <a:gs pos="100000">
                    <a:schemeClr val="accent3">
                      <a:lumMod val="80000"/>
                      <a:lumOff val="20000"/>
                      <a:tint val="15000"/>
                      <a:satMod val="350000"/>
                    </a:schemeClr>
                  </a:gs>
                </a:gsLst>
                <a:lin ang="16200000" scaled="1"/>
              </a:gradFill>
              <a:ln w="9525" cap="flat" cmpd="sng" algn="ctr">
                <a:solidFill>
                  <a:schemeClr val="accent3">
                    <a:lumMod val="80000"/>
                    <a:lumOff val="20000"/>
                    <a:shade val="95000"/>
                  </a:schemeClr>
                </a:solidFill>
                <a:round/>
              </a:ln>
              <a:effectLst>
                <a:outerShdw blurRad="40000" dist="20000" dir="5400000" rotWithShape="0">
                  <a:srgbClr val="000000">
                    <a:alpha val="38000"/>
                  </a:srgbClr>
                </a:outerShdw>
              </a:effectLst>
              <a:sp3d contourW="9525">
                <a:contourClr>
                  <a:schemeClr val="accent3">
                    <a:lumMod val="80000"/>
                    <a:lumOff val="20000"/>
                    <a:shade val="95000"/>
                  </a:schemeClr>
                </a:contourClr>
              </a:sp3d>
            </c:spPr>
          </c:bandFmt>
        </c:bandFmts>
        <c:axId val="450141184"/>
        <c:axId val="450147072"/>
        <c:axId val="450113024"/>
      </c:surface3DChart>
      <c:catAx>
        <c:axId val="4501411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a:pPr>
            <a:endParaRPr lang="en-US"/>
          </a:p>
        </c:txPr>
        <c:crossAx val="450147072"/>
        <c:crosses val="autoZero"/>
        <c:auto val="1"/>
        <c:lblAlgn val="ctr"/>
        <c:lblOffset val="100"/>
        <c:tickLblSkip val="3"/>
        <c:tickMarkSkip val="1"/>
        <c:noMultiLvlLbl val="1"/>
      </c:catAx>
      <c:valAx>
        <c:axId val="450147072"/>
        <c:scaling>
          <c:orientation val="minMax"/>
        </c:scaling>
        <c:delete val="0"/>
        <c:axPos val="r"/>
        <c:majorGridlines>
          <c:spPr>
            <a:ln w="9525" cap="flat" cmpd="sng" algn="ctr">
              <a:solidFill>
                <a:schemeClr val="tx1">
                  <a:lumMod val="15000"/>
                  <a:lumOff val="85000"/>
                </a:schemeClr>
              </a:solidFill>
              <a:round/>
            </a:ln>
            <a:effectLst/>
          </c:spPr>
        </c:majorGridlines>
        <c:title>
          <c:tx>
            <c:rich>
              <a:bodyPr rot="-5400000" vert="horz"/>
              <a:lstStyle/>
              <a:p>
                <a:pPr>
                  <a:defRPr b="0"/>
                </a:pPr>
                <a:r>
                  <a:rPr lang="en-US" b="0"/>
                  <a:t>Avoided Cost 
(Nominal $/Therm)</a:t>
                </a:r>
              </a:p>
            </c:rich>
          </c:tx>
          <c:layout>
            <c:manualLayout>
              <c:xMode val="edge"/>
              <c:yMode val="edge"/>
              <c:x val="0.89269674929665344"/>
              <c:y val="0.28200360497106536"/>
            </c:manualLayout>
          </c:layout>
          <c:overlay val="0"/>
          <c:spPr>
            <a:noFill/>
            <a:ln>
              <a:noFill/>
            </a:ln>
            <a:effectLst/>
          </c:spPr>
        </c:title>
        <c:numFmt formatCode="&quot;$&quot;#,##0.00" sourceLinked="1"/>
        <c:majorTickMark val="none"/>
        <c:minorTickMark val="none"/>
        <c:tickLblPos val="nextTo"/>
        <c:spPr>
          <a:noFill/>
          <a:ln>
            <a:noFill/>
          </a:ln>
          <a:effectLst/>
        </c:spPr>
        <c:txPr>
          <a:bodyPr rot="0" vert="horz"/>
          <a:lstStyle/>
          <a:p>
            <a:pPr>
              <a:defRPr/>
            </a:pPr>
            <a:endParaRPr lang="en-US"/>
          </a:p>
        </c:txPr>
        <c:crossAx val="450141184"/>
        <c:crosses val="max"/>
        <c:crossBetween val="between"/>
      </c:valAx>
      <c:serAx>
        <c:axId val="450113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vert="horz"/>
          <a:lstStyle/>
          <a:p>
            <a:pPr>
              <a:defRPr/>
            </a:pPr>
            <a:endParaRPr lang="en-US"/>
          </a:p>
        </c:txPr>
        <c:crossAx val="450147072"/>
        <c:crosses val="autoZero"/>
        <c:tickLblSkip val="7"/>
        <c:tickMarkSkip val="1"/>
      </c:serAx>
      <c:spPr>
        <a:noFill/>
        <a:ln>
          <a:noFill/>
        </a:ln>
        <a:effectLst/>
      </c:spPr>
    </c:plotArea>
    <c:legend>
      <c:legendPos val="b"/>
      <c:legendEntry>
        <c:idx val="0"/>
        <c:txPr>
          <a:bodyPr rot="0" vert="horz"/>
          <a:lstStyle/>
          <a:p>
            <a:pPr rtl="0">
              <a:defRPr/>
            </a:pPr>
            <a:endParaRPr lang="en-US"/>
          </a:p>
        </c:txPr>
      </c:legendEntry>
      <c:legendEntry>
        <c:idx val="1"/>
        <c:txPr>
          <a:bodyPr rot="0" vert="horz"/>
          <a:lstStyle/>
          <a:p>
            <a:pPr rtl="0">
              <a:defRPr/>
            </a:pPr>
            <a:endParaRPr lang="en-US"/>
          </a:p>
        </c:txPr>
      </c:legendEntry>
      <c:overlay val="0"/>
      <c:spPr>
        <a:noFill/>
        <a:ln>
          <a:noFill/>
        </a:ln>
        <a:effectLst/>
      </c:spPr>
      <c:txPr>
        <a:bodyPr rot="0" vert="horz"/>
        <a:lstStyle/>
        <a:p>
          <a:pPr rtl="0">
            <a:defRPr/>
          </a:pPr>
          <a:endParaRPr lang="en-US"/>
        </a:p>
      </c:txPr>
    </c:legend>
    <c:plotVisOnly val="1"/>
    <c:dispBlanksAs val="gap"/>
    <c:showDLblsOverMax val="0"/>
  </c:chart>
  <c:spPr>
    <a:solidFill>
      <a:schemeClr val="bg1"/>
    </a:solidFill>
    <a:ln w="9525" cap="flat" cmpd="sng" algn="ctr">
      <a:solidFill>
        <a:schemeClr val="tx1">
          <a:lumMod val="50000"/>
          <a:lumOff val="50000"/>
        </a:schemeClr>
      </a:solidFill>
      <a:round/>
    </a:ln>
    <a:effectLst/>
  </c:spPr>
  <c:txPr>
    <a:bodyPr/>
    <a:lstStyle/>
    <a:p>
      <a:pPr>
        <a:defRPr>
          <a:solidFill>
            <a:schemeClr val="tx1">
              <a:lumMod val="65000"/>
              <a:lumOff val="35000"/>
            </a:schemeClr>
          </a:solidFil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Output!$G$29</c:f>
              <c:strCache>
                <c:ptCount val="1"/>
                <c:pt idx="0">
                  <c:v>Annual Average</c:v>
                </c:pt>
              </c:strCache>
            </c:strRef>
          </c:tx>
          <c:spPr>
            <a:ln w="28575" cap="rnd">
              <a:solidFill>
                <a:schemeClr val="accent1"/>
              </a:solidFill>
              <a:round/>
            </a:ln>
            <a:effectLst/>
          </c:spPr>
          <c:marker>
            <c:symbol val="none"/>
          </c:marker>
          <c:cat>
            <c:numRef>
              <c:f>Output!$H$16:$AK$16</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Output!$H$29:$AK$29</c:f>
              <c:numCache>
                <c:formatCode>"$"#,##0.00</c:formatCode>
                <c:ptCount val="30"/>
                <c:pt idx="0">
                  <c:v>1.8971568472533751</c:v>
                </c:pt>
                <c:pt idx="1">
                  <c:v>2.8168420426938794</c:v>
                </c:pt>
                <c:pt idx="2">
                  <c:v>3.6829528777271654</c:v>
                </c:pt>
                <c:pt idx="3">
                  <c:v>3.9409865306668679</c:v>
                </c:pt>
                <c:pt idx="4">
                  <c:v>4.2005645829716745</c:v>
                </c:pt>
                <c:pt idx="5">
                  <c:v>4.4616088461324983</c:v>
                </c:pt>
                <c:pt idx="6">
                  <c:v>4.3209600863708246</c:v>
                </c:pt>
                <c:pt idx="7">
                  <c:v>4.1819975578076143</c:v>
                </c:pt>
                <c:pt idx="8">
                  <c:v>4.044984622618343</c:v>
                </c:pt>
                <c:pt idx="9">
                  <c:v>3.9097936352115759</c:v>
                </c:pt>
                <c:pt idx="10">
                  <c:v>3.7765729122232172</c:v>
                </c:pt>
                <c:pt idx="11">
                  <c:v>3.8957748906287453</c:v>
                </c:pt>
                <c:pt idx="12">
                  <c:v>4.017612099348467</c:v>
                </c:pt>
                <c:pt idx="13">
                  <c:v>4.1420698732196595</c:v>
                </c:pt>
                <c:pt idx="14">
                  <c:v>4.2692437275470043</c:v>
                </c:pt>
                <c:pt idx="15">
                  <c:v>4.3994805075992982</c:v>
                </c:pt>
                <c:pt idx="16">
                  <c:v>4.7754655541256819</c:v>
                </c:pt>
                <c:pt idx="17">
                  <c:v>5.1547021764245153</c:v>
                </c:pt>
                <c:pt idx="18">
                  <c:v>5.5372817892758883</c:v>
                </c:pt>
                <c:pt idx="19">
                  <c:v>5.9235367203077232</c:v>
                </c:pt>
                <c:pt idx="20">
                  <c:v>6.0475301500835386</c:v>
                </c:pt>
                <c:pt idx="21">
                  <c:v>6.1738665860725241</c:v>
                </c:pt>
                <c:pt idx="22">
                  <c:v>6.3026033732281528</c:v>
                </c:pt>
                <c:pt idx="23">
                  <c:v>6.4337098056096957</c:v>
                </c:pt>
                <c:pt idx="24">
                  <c:v>6.5671915666227916</c:v>
                </c:pt>
                <c:pt idx="25">
                  <c:v>6.7010469871212637</c:v>
                </c:pt>
                <c:pt idx="26">
                  <c:v>6.8381150354952007</c:v>
                </c:pt>
                <c:pt idx="27">
                  <c:v>6.9772491560912648</c:v>
                </c:pt>
                <c:pt idx="28">
                  <c:v>7.1184477185982438</c:v>
                </c:pt>
                <c:pt idx="29">
                  <c:v>7.2616963679231263</c:v>
                </c:pt>
              </c:numCache>
            </c:numRef>
          </c:val>
          <c:smooth val="0"/>
          <c:extLst>
            <c:ext xmlns:c16="http://schemas.microsoft.com/office/drawing/2014/chart" uri="{C3380CC4-5D6E-409C-BE32-E72D297353CC}">
              <c16:uniqueId val="{00000000-0FA2-414B-AA42-08BDA52AB86C}"/>
            </c:ext>
          </c:extLst>
        </c:ser>
        <c:dLbls>
          <c:showLegendKey val="0"/>
          <c:showVal val="0"/>
          <c:showCatName val="0"/>
          <c:showSerName val="0"/>
          <c:showPercent val="0"/>
          <c:showBubbleSize val="0"/>
        </c:dLbls>
        <c:smooth val="0"/>
        <c:axId val="1968706704"/>
        <c:axId val="1968707664"/>
      </c:lineChart>
      <c:catAx>
        <c:axId val="196870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968707664"/>
        <c:crosses val="autoZero"/>
        <c:auto val="1"/>
        <c:lblAlgn val="ctr"/>
        <c:lblOffset val="100"/>
        <c:tickLblSkip val="5"/>
        <c:noMultiLvlLbl val="0"/>
      </c:catAx>
      <c:valAx>
        <c:axId val="1968707664"/>
        <c:scaling>
          <c:orientation val="minMax"/>
        </c:scaling>
        <c:delete val="0"/>
        <c:axPos val="l"/>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968706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Commodity!$N$50</c:f>
              <c:strCache>
                <c:ptCount val="1"/>
                <c:pt idx="0">
                  <c:v>2037</c:v>
                </c:pt>
              </c:strCache>
            </c:strRef>
          </c:tx>
          <c:spPr>
            <a:ln w="28575" cap="rnd">
              <a:solidFill>
                <a:schemeClr val="accent2"/>
              </a:solidFill>
              <a:round/>
            </a:ln>
            <a:effectLst/>
          </c:spPr>
          <c:marker>
            <c:symbol val="none"/>
          </c:marker>
          <c:val>
            <c:numRef>
              <c:f>Commodity!$N$36:$N$47</c:f>
              <c:numCache>
                <c:formatCode>"$"#,##0.00_);[Red]\("$"#,##0.00\)</c:formatCode>
                <c:ptCount val="12"/>
                <c:pt idx="0">
                  <c:v>0.76047205989429711</c:v>
                </c:pt>
                <c:pt idx="1">
                  <c:v>0.74378328421840079</c:v>
                </c:pt>
                <c:pt idx="2">
                  <c:v>0.6827808605087593</c:v>
                </c:pt>
                <c:pt idx="3">
                  <c:v>0.67114909572799675</c:v>
                </c:pt>
                <c:pt idx="4">
                  <c:v>0.69449263786301185</c:v>
                </c:pt>
                <c:pt idx="5">
                  <c:v>0.71243199940690749</c:v>
                </c:pt>
                <c:pt idx="6">
                  <c:v>0.7180692454952301</c:v>
                </c:pt>
                <c:pt idx="7">
                  <c:v>0.71250815139296009</c:v>
                </c:pt>
                <c:pt idx="8">
                  <c:v>0.72251533481932428</c:v>
                </c:pt>
                <c:pt idx="9">
                  <c:v>0.71833705364848588</c:v>
                </c:pt>
                <c:pt idx="10">
                  <c:v>0.75382667316327123</c:v>
                </c:pt>
                <c:pt idx="11">
                  <c:v>0.75987441859486782</c:v>
                </c:pt>
              </c:numCache>
            </c:numRef>
          </c:val>
          <c:smooth val="0"/>
          <c:extLst>
            <c:ext xmlns:c16="http://schemas.microsoft.com/office/drawing/2014/chart" uri="{C3380CC4-5D6E-409C-BE32-E72D297353CC}">
              <c16:uniqueId val="{00000001-CE3B-4C9A-A03C-68E062A6EA32}"/>
            </c:ext>
          </c:extLst>
        </c:ser>
        <c:ser>
          <c:idx val="2"/>
          <c:order val="1"/>
          <c:tx>
            <c:strRef>
              <c:f>Commodity!$S$50</c:f>
              <c:strCache>
                <c:ptCount val="1"/>
                <c:pt idx="0">
                  <c:v>2042</c:v>
                </c:pt>
              </c:strCache>
            </c:strRef>
          </c:tx>
          <c:spPr>
            <a:ln w="28575" cap="rnd">
              <a:solidFill>
                <a:schemeClr val="accent3"/>
              </a:solidFill>
              <a:round/>
            </a:ln>
            <a:effectLst/>
          </c:spPr>
          <c:marker>
            <c:symbol val="none"/>
          </c:marker>
          <c:val>
            <c:numRef>
              <c:f>Commodity!$S$36:$S$47</c:f>
              <c:numCache>
                <c:formatCode>"$"#,##0.00_);[Red]\("$"#,##0.00\)</c:formatCode>
                <c:ptCount val="12"/>
                <c:pt idx="0">
                  <c:v>0.84743084761135701</c:v>
                </c:pt>
                <c:pt idx="1">
                  <c:v>0.82883210999807755</c:v>
                </c:pt>
                <c:pt idx="2">
                  <c:v>0.76085279480735379</c:v>
                </c:pt>
                <c:pt idx="3">
                  <c:v>0.7478895387152501</c:v>
                </c:pt>
                <c:pt idx="4">
                  <c:v>0.77390070574407344</c:v>
                </c:pt>
                <c:pt idx="5">
                  <c:v>0.79388968937629845</c:v>
                </c:pt>
                <c:pt idx="6">
                  <c:v>0.80016991270980409</c:v>
                </c:pt>
                <c:pt idx="7">
                  <c:v>0.7939714298344609</c:v>
                </c:pt>
                <c:pt idx="8">
                  <c:v>0.80512118426926038</c:v>
                </c:pt>
                <c:pt idx="9">
                  <c:v>0.8004636238063485</c:v>
                </c:pt>
                <c:pt idx="10">
                  <c:v>0.84000907637829825</c:v>
                </c:pt>
                <c:pt idx="11">
                  <c:v>0.84674657581384682</c:v>
                </c:pt>
              </c:numCache>
            </c:numRef>
          </c:val>
          <c:smooth val="0"/>
          <c:extLst>
            <c:ext xmlns:c16="http://schemas.microsoft.com/office/drawing/2014/chart" uri="{C3380CC4-5D6E-409C-BE32-E72D297353CC}">
              <c16:uniqueId val="{00000002-CE3B-4C9A-A03C-68E062A6EA32}"/>
            </c:ext>
          </c:extLst>
        </c:ser>
        <c:ser>
          <c:idx val="3"/>
          <c:order val="2"/>
          <c:tx>
            <c:strRef>
              <c:f>Commodity!$X$50</c:f>
              <c:strCache>
                <c:ptCount val="1"/>
                <c:pt idx="0">
                  <c:v>2047</c:v>
                </c:pt>
              </c:strCache>
            </c:strRef>
          </c:tx>
          <c:spPr>
            <a:ln w="28575" cap="rnd">
              <a:solidFill>
                <a:schemeClr val="accent4"/>
              </a:solidFill>
              <a:round/>
            </a:ln>
            <a:effectLst/>
          </c:spPr>
          <c:marker>
            <c:symbol val="none"/>
          </c:marker>
          <c:val>
            <c:numRef>
              <c:f>Commodity!$X$36:$X$47</c:f>
              <c:numCache>
                <c:formatCode>"$"#,##0.00_);[Red]\("$"#,##0.00\)</c:formatCode>
                <c:ptCount val="12"/>
                <c:pt idx="0">
                  <c:v>0.94481747175645892</c:v>
                </c:pt>
                <c:pt idx="1">
                  <c:v>0.92409374832213109</c:v>
                </c:pt>
                <c:pt idx="2">
                  <c:v>0.8483126098179492</c:v>
                </c:pt>
                <c:pt idx="3">
                  <c:v>0.8338704033863038</c:v>
                </c:pt>
                <c:pt idx="4">
                  <c:v>0.8628834976841594</c:v>
                </c:pt>
                <c:pt idx="5">
                  <c:v>0.8851826691454564</c:v>
                </c:pt>
                <c:pt idx="6">
                  <c:v>0.8921970417819296</c:v>
                </c:pt>
                <c:pt idx="7">
                  <c:v>0.88529754139130201</c:v>
                </c:pt>
                <c:pt idx="8">
                  <c:v>0.89774182497879185</c:v>
                </c:pt>
                <c:pt idx="9">
                  <c:v>0.89256042857163076</c:v>
                </c:pt>
                <c:pt idx="10">
                  <c:v>0.93666831637369508</c:v>
                </c:pt>
                <c:pt idx="11">
                  <c:v>0.94419375712677911</c:v>
                </c:pt>
              </c:numCache>
            </c:numRef>
          </c:val>
          <c:smooth val="0"/>
          <c:extLst>
            <c:ext xmlns:c16="http://schemas.microsoft.com/office/drawing/2014/chart" uri="{C3380CC4-5D6E-409C-BE32-E72D297353CC}">
              <c16:uniqueId val="{00000003-CE3B-4C9A-A03C-68E062A6EA32}"/>
            </c:ext>
          </c:extLst>
        </c:ser>
        <c:dLbls>
          <c:showLegendKey val="0"/>
          <c:showVal val="0"/>
          <c:showCatName val="0"/>
          <c:showSerName val="0"/>
          <c:showPercent val="0"/>
          <c:showBubbleSize val="0"/>
        </c:dLbls>
        <c:smooth val="0"/>
        <c:axId val="1204032479"/>
        <c:axId val="1204033439"/>
      </c:lineChart>
      <c:catAx>
        <c:axId val="12040324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4033439"/>
        <c:crosses val="autoZero"/>
        <c:auto val="1"/>
        <c:lblAlgn val="ctr"/>
        <c:lblOffset val="100"/>
        <c:noMultiLvlLbl val="0"/>
      </c:catAx>
      <c:valAx>
        <c:axId val="1204033439"/>
        <c:scaling>
          <c:orientation val="minMax"/>
        </c:scaling>
        <c:delete val="0"/>
        <c:axPos val="l"/>
        <c:majorGridlines>
          <c:spPr>
            <a:ln w="9525" cap="flat" cmpd="sng" algn="ctr">
              <a:solidFill>
                <a:schemeClr val="tx1">
                  <a:lumMod val="15000"/>
                  <a:lumOff val="85000"/>
                </a:schemeClr>
              </a:solidFill>
              <a:round/>
            </a:ln>
            <a:effectLst/>
          </c:spPr>
        </c:majorGridlines>
        <c:title>
          <c:tx>
            <c:strRef>
              <c:f>Commodity!$B$35</c:f>
              <c:strCache>
                <c:ptCount val="1"/>
                <c:pt idx="0">
                  <c:v>CA Gas Price Forecast ($/therm) ($Nominal)</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00_);[Red]\(&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4032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50000"/>
          <a:lumOff val="50000"/>
        </a:schemeClr>
      </a:solidFill>
      <a:round/>
    </a:ln>
    <a:effectLst/>
  </c:spPr>
  <c:txPr>
    <a:bodyPr/>
    <a:lstStyle/>
    <a:p>
      <a:pPr>
        <a:defRPr>
          <a:solidFill>
            <a:schemeClr val="tx1">
              <a:lumMod val="65000"/>
              <a:lumOff val="35000"/>
            </a:schemeClr>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TRC Cost of Carbon</c:v>
          </c:tx>
          <c:spPr>
            <a:ln w="28575" cap="rnd">
              <a:solidFill>
                <a:schemeClr val="accent1"/>
              </a:solidFill>
              <a:round/>
            </a:ln>
            <a:effectLst/>
          </c:spPr>
          <c:marker>
            <c:symbol val="none"/>
          </c:marker>
          <c:cat>
            <c:numRef>
              <c:f>Emissions!$J$30:$AM$30</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Emissions!$J$19:$AM$19</c:f>
              <c:numCache>
                <c:formatCode>"$"#,##0.00</c:formatCode>
                <c:ptCount val="30"/>
                <c:pt idx="0">
                  <c:v>132.30153483151179</c:v>
                </c:pt>
                <c:pt idx="1">
                  <c:v>281.46653464045181</c:v>
                </c:pt>
                <c:pt idx="2">
                  <c:v>430.76986744041125</c:v>
                </c:pt>
                <c:pt idx="3">
                  <c:v>469.76517370176498</c:v>
                </c:pt>
                <c:pt idx="4">
                  <c:v>508.96374296427928</c:v>
                </c:pt>
                <c:pt idx="5">
                  <c:v>548.35124619136388</c:v>
                </c:pt>
                <c:pt idx="6">
                  <c:v>518.41568040483503</c:v>
                </c:pt>
                <c:pt idx="7">
                  <c:v>488.68054495765654</c:v>
                </c:pt>
                <c:pt idx="8">
                  <c:v>459.16761648019809</c:v>
                </c:pt>
                <c:pt idx="9">
                  <c:v>429.9004177348653</c:v>
                </c:pt>
                <c:pt idx="10">
                  <c:v>400.90901429898997</c:v>
                </c:pt>
                <c:pt idx="11">
                  <c:v>415.27409165419465</c:v>
                </c:pt>
                <c:pt idx="12">
                  <c:v>429.95238614738946</c:v>
                </c:pt>
                <c:pt idx="13">
                  <c:v>444.96175313562492</c:v>
                </c:pt>
                <c:pt idx="14">
                  <c:v>460.34197839568225</c:v>
                </c:pt>
                <c:pt idx="15">
                  <c:v>476.16292459233699</c:v>
                </c:pt>
                <c:pt idx="16">
                  <c:v>534.23805540899991</c:v>
                </c:pt>
                <c:pt idx="17">
                  <c:v>592.76584310960004</c:v>
                </c:pt>
                <c:pt idx="18">
                  <c:v>651.76154429718554</c:v>
                </c:pt>
                <c:pt idx="19">
                  <c:v>711.28982485475785</c:v>
                </c:pt>
                <c:pt idx="20">
                  <c:v>725.51562135185304</c:v>
                </c:pt>
                <c:pt idx="21">
                  <c:v>740.02593377889002</c:v>
                </c:pt>
                <c:pt idx="22">
                  <c:v>754.82645245446781</c:v>
                </c:pt>
                <c:pt idx="23">
                  <c:v>769.92298150355725</c:v>
                </c:pt>
                <c:pt idx="24">
                  <c:v>785.32144113362835</c:v>
                </c:pt>
                <c:pt idx="25">
                  <c:v>801.02786995630095</c:v>
                </c:pt>
                <c:pt idx="26">
                  <c:v>817.04842735542684</c:v>
                </c:pt>
                <c:pt idx="27">
                  <c:v>833.3893959025354</c:v>
                </c:pt>
                <c:pt idx="28">
                  <c:v>850.05718382058615</c:v>
                </c:pt>
                <c:pt idx="29">
                  <c:v>867.05832749699789</c:v>
                </c:pt>
              </c:numCache>
            </c:numRef>
          </c:val>
          <c:smooth val="0"/>
          <c:extLst>
            <c:ext xmlns:c16="http://schemas.microsoft.com/office/drawing/2014/chart" uri="{C3380CC4-5D6E-409C-BE32-E72D297353CC}">
              <c16:uniqueId val="{00000000-E2B2-4706-BA59-6F2B55789D30}"/>
            </c:ext>
          </c:extLst>
        </c:ser>
        <c:ser>
          <c:idx val="1"/>
          <c:order val="1"/>
          <c:tx>
            <c:v>Social Cost of Carbon - Base</c:v>
          </c:tx>
          <c:spPr>
            <a:ln w="28575" cap="rnd">
              <a:solidFill>
                <a:schemeClr val="accent2"/>
              </a:solidFill>
              <a:round/>
            </a:ln>
            <a:effectLst/>
          </c:spPr>
          <c:marker>
            <c:symbol val="none"/>
          </c:marker>
          <c:cat>
            <c:numRef>
              <c:f>Emissions!$J$30:$AM$30</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Emissions!$J$27:$AM$27</c:f>
              <c:numCache>
                <c:formatCode>"$"#,##0.00_);[Red]\("$"#,##0.00\)</c:formatCode>
                <c:ptCount val="30"/>
                <c:pt idx="0">
                  <c:v>64.4164903819008</c:v>
                </c:pt>
                <c:pt idx="1">
                  <c:v>67.083242990717949</c:v>
                </c:pt>
                <c:pt idx="2">
                  <c:v>69.830899107735036</c:v>
                </c:pt>
                <c:pt idx="3">
                  <c:v>72.661628172236519</c:v>
                </c:pt>
                <c:pt idx="4">
                  <c:v>75.57765403967494</c:v>
                </c:pt>
                <c:pt idx="5">
                  <c:v>78.33258142886308</c:v>
                </c:pt>
                <c:pt idx="6">
                  <c:v>81.167474852002897</c:v>
                </c:pt>
                <c:pt idx="7">
                  <c:v>84.084430979496744</c:v>
                </c:pt>
                <c:pt idx="8">
                  <c:v>87.085598362149568</c:v>
                </c:pt>
                <c:pt idx="9">
                  <c:v>90.173178667716655</c:v>
                </c:pt>
                <c:pt idx="10">
                  <c:v>93.623985087179747</c:v>
                </c:pt>
                <c:pt idx="11">
                  <c:v>97.176754491954256</c:v>
                </c:pt>
                <c:pt idx="12">
                  <c:v>100.83418507888487</c:v>
                </c:pt>
                <c:pt idx="13">
                  <c:v>104.59904218749593</c:v>
                </c:pt>
                <c:pt idx="14">
                  <c:v>108.47415990641986</c:v>
                </c:pt>
                <c:pt idx="15">
                  <c:v>112.46244271722576</c:v>
                </c:pt>
                <c:pt idx="16">
                  <c:v>116.56686717650133</c:v>
                </c:pt>
                <c:pt idx="17">
                  <c:v>120.79048363706103</c:v>
                </c:pt>
                <c:pt idx="18">
                  <c:v>125.13641800917253</c:v>
                </c:pt>
                <c:pt idx="19">
                  <c:v>129.60787356271362</c:v>
                </c:pt>
                <c:pt idx="20">
                  <c:v>134.20813277119277</c:v>
                </c:pt>
                <c:pt idx="21">
                  <c:v>138.9405591985859</c:v>
                </c:pt>
                <c:pt idx="22">
                  <c:v>143.80859942996639</c:v>
                </c:pt>
                <c:pt idx="23">
                  <c:v>148.81578504692257</c:v>
                </c:pt>
                <c:pt idx="24">
                  <c:v>153.96573464878506</c:v>
                </c:pt>
                <c:pt idx="25">
                  <c:v>159.26215592070324</c:v>
                </c:pt>
                <c:pt idx="26">
                  <c:v>164.70884774963869</c:v>
                </c:pt>
                <c:pt idx="27">
                  <c:v>170.30970238936328</c:v>
                </c:pt>
                <c:pt idx="28">
                  <c:v>176.06870767557695</c:v>
                </c:pt>
                <c:pt idx="29">
                  <c:v>181.98994929228343</c:v>
                </c:pt>
              </c:numCache>
            </c:numRef>
          </c:val>
          <c:smooth val="0"/>
          <c:extLst>
            <c:ext xmlns:c16="http://schemas.microsoft.com/office/drawing/2014/chart" uri="{C3380CC4-5D6E-409C-BE32-E72D297353CC}">
              <c16:uniqueId val="{00000001-E2B2-4706-BA59-6F2B55789D30}"/>
            </c:ext>
          </c:extLst>
        </c:ser>
        <c:ser>
          <c:idx val="2"/>
          <c:order val="2"/>
          <c:tx>
            <c:v>Social Cost of Carbon - High</c:v>
          </c:tx>
          <c:spPr>
            <a:ln w="28575" cap="rnd">
              <a:solidFill>
                <a:schemeClr val="accent3"/>
              </a:solidFill>
              <a:round/>
            </a:ln>
            <a:effectLst/>
          </c:spPr>
          <c:marker>
            <c:symbol val="none"/>
          </c:marker>
          <c:cat>
            <c:numRef>
              <c:f>Emissions!$J$30:$AM$30</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Emissions!$J$28:$AM$28</c:f>
              <c:numCache>
                <c:formatCode>"$"#,##0.00_);[Red]\("$"#,##0.00\)</c:formatCode>
                <c:ptCount val="30"/>
                <c:pt idx="0">
                  <c:v>194.37563356496639</c:v>
                </c:pt>
                <c:pt idx="1">
                  <c:v>202.39841463980309</c:v>
                </c:pt>
                <c:pt idx="2">
                  <c:v>210.66435670420731</c:v>
                </c:pt>
                <c:pt idx="3">
                  <c:v>219.17997708533179</c:v>
                </c:pt>
                <c:pt idx="4">
                  <c:v>227.95195653901959</c:v>
                </c:pt>
                <c:pt idx="5">
                  <c:v>237.23581804169962</c:v>
                </c:pt>
                <c:pt idx="6">
                  <c:v>246.79985322187133</c:v>
                </c:pt>
                <c:pt idx="7">
                  <c:v>256.65155548203319</c:v>
                </c:pt>
                <c:pt idx="8">
                  <c:v>266.79860589131283</c:v>
                </c:pt>
                <c:pt idx="9">
                  <c:v>277.24887769477061</c:v>
                </c:pt>
                <c:pt idx="10">
                  <c:v>288.01044092801044</c:v>
                </c:pt>
                <c:pt idx="11">
                  <c:v>299.09156713950188</c:v>
                </c:pt>
                <c:pt idx="12">
                  <c:v>310.50073422308174</c:v>
                </c:pt>
                <c:pt idx="13">
                  <c:v>322.24663136314899</c:v>
                </c:pt>
                <c:pt idx="14">
                  <c:v>334.33816409512968</c:v>
                </c:pt>
                <c:pt idx="15">
                  <c:v>346.17819294628521</c:v>
                </c:pt>
                <c:pt idx="16">
                  <c:v>358.35808768584894</c:v>
                </c:pt>
                <c:pt idx="17">
                  <c:v>370.8867069378166</c:v>
                </c:pt>
                <c:pt idx="18">
                  <c:v>383.77312772478871</c:v>
                </c:pt>
                <c:pt idx="19">
                  <c:v>397.02665066046455</c:v>
                </c:pt>
                <c:pt idx="20">
                  <c:v>410.65680526247758</c:v>
                </c:pt>
                <c:pt idx="21">
                  <c:v>424.67335538830679</c:v>
                </c:pt>
                <c:pt idx="22">
                  <c:v>439.08630479706443</c:v>
                </c:pt>
                <c:pt idx="23">
                  <c:v>453.90590284001684</c:v>
                </c:pt>
                <c:pt idx="24">
                  <c:v>469.14265028276856</c:v>
                </c:pt>
                <c:pt idx="25">
                  <c:v>484.80730526209419</c:v>
                </c:pt>
                <c:pt idx="26">
                  <c:v>500.91088938048</c:v>
                </c:pt>
                <c:pt idx="27">
                  <c:v>517.46469394149631</c:v>
                </c:pt>
                <c:pt idx="28">
                  <c:v>534.48028632920091</c:v>
                </c:pt>
                <c:pt idx="29">
                  <c:v>551.96951653483723</c:v>
                </c:pt>
              </c:numCache>
            </c:numRef>
          </c:val>
          <c:smooth val="0"/>
          <c:extLst>
            <c:ext xmlns:c16="http://schemas.microsoft.com/office/drawing/2014/chart" uri="{C3380CC4-5D6E-409C-BE32-E72D297353CC}">
              <c16:uniqueId val="{00000002-E2B2-4706-BA59-6F2B55789D30}"/>
            </c:ext>
          </c:extLst>
        </c:ser>
        <c:dLbls>
          <c:showLegendKey val="0"/>
          <c:showVal val="0"/>
          <c:showCatName val="0"/>
          <c:showSerName val="0"/>
          <c:showPercent val="0"/>
          <c:showBubbleSize val="0"/>
        </c:dLbls>
        <c:smooth val="0"/>
        <c:axId val="775345887"/>
        <c:axId val="775340127"/>
      </c:lineChart>
      <c:catAx>
        <c:axId val="7753458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775340127"/>
        <c:crosses val="autoZero"/>
        <c:auto val="1"/>
        <c:lblAlgn val="ctr"/>
        <c:lblOffset val="100"/>
        <c:noMultiLvlLbl val="0"/>
      </c:catAx>
      <c:valAx>
        <c:axId val="7753401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US"/>
                  <a:t>Nominal $/tonne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77534588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50000"/>
          <a:lumOff val="50000"/>
        </a:schemeClr>
      </a:solid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'T&amp;D'!$B$5:$B$7</c:f>
              <c:strCache>
                <c:ptCount val="3"/>
                <c:pt idx="0">
                  <c:v>PG&amp;E</c:v>
                </c:pt>
              </c:strCache>
            </c:strRef>
          </c:tx>
          <c:spPr>
            <a:solidFill>
              <a:schemeClr val="tx2"/>
            </a:solidFill>
            <a:ln>
              <a:noFill/>
            </a:ln>
            <a:effectLst/>
          </c:spPr>
          <c:invertIfNegative val="0"/>
          <c:cat>
            <c:strRef>
              <c:f>'T&amp;D'!$C$5:$C$7</c:f>
              <c:strCache>
                <c:ptCount val="3"/>
                <c:pt idx="0">
                  <c:v>Residential</c:v>
                </c:pt>
                <c:pt idx="1">
                  <c:v>Commercial</c:v>
                </c:pt>
                <c:pt idx="2">
                  <c:v>Total Core</c:v>
                </c:pt>
              </c:strCache>
            </c:strRef>
          </c:cat>
          <c:val>
            <c:numRef>
              <c:f>'T&amp;D'!$F$5:$F$7</c:f>
              <c:numCache>
                <c:formatCode>"$"#,##0.00_);[Red]\("$"#,##0.00\)</c:formatCode>
                <c:ptCount val="3"/>
                <c:pt idx="0">
                  <c:v>0.56974563576309967</c:v>
                </c:pt>
                <c:pt idx="1">
                  <c:v>0.31767402416518392</c:v>
                </c:pt>
                <c:pt idx="2">
                  <c:v>0.48519042782318927</c:v>
                </c:pt>
              </c:numCache>
            </c:numRef>
          </c:val>
          <c:extLst>
            <c:ext xmlns:c16="http://schemas.microsoft.com/office/drawing/2014/chart" uri="{C3380CC4-5D6E-409C-BE32-E72D297353CC}">
              <c16:uniqueId val="{00000000-4D27-475F-A765-65E9E7215B86}"/>
            </c:ext>
          </c:extLst>
        </c:ser>
        <c:ser>
          <c:idx val="1"/>
          <c:order val="1"/>
          <c:tx>
            <c:strRef>
              <c:f>'T&amp;D'!$B$8:$B$10</c:f>
              <c:strCache>
                <c:ptCount val="3"/>
                <c:pt idx="0">
                  <c:v>SoCalGas</c:v>
                </c:pt>
              </c:strCache>
            </c:strRef>
          </c:tx>
          <c:spPr>
            <a:solidFill>
              <a:schemeClr val="accent2">
                <a:lumMod val="75000"/>
              </a:schemeClr>
            </a:solidFill>
            <a:ln>
              <a:noFill/>
            </a:ln>
            <a:effectLst/>
          </c:spPr>
          <c:invertIfNegative val="0"/>
          <c:cat>
            <c:strRef>
              <c:f>'T&amp;D'!$C$5:$C$7</c:f>
              <c:strCache>
                <c:ptCount val="3"/>
                <c:pt idx="0">
                  <c:v>Residential</c:v>
                </c:pt>
                <c:pt idx="1">
                  <c:v>Commercial</c:v>
                </c:pt>
                <c:pt idx="2">
                  <c:v>Total Core</c:v>
                </c:pt>
              </c:strCache>
            </c:strRef>
          </c:cat>
          <c:val>
            <c:numRef>
              <c:f>'T&amp;D'!$F$8:$F$10</c:f>
              <c:numCache>
                <c:formatCode>"$"#,##0.00_);[Red]\("$"#,##0.00\)</c:formatCode>
                <c:ptCount val="3"/>
                <c:pt idx="0">
                  <c:v>0.36</c:v>
                </c:pt>
                <c:pt idx="1">
                  <c:v>0.21</c:v>
                </c:pt>
                <c:pt idx="2">
                  <c:v>0.3</c:v>
                </c:pt>
              </c:numCache>
            </c:numRef>
          </c:val>
          <c:extLst>
            <c:ext xmlns:c16="http://schemas.microsoft.com/office/drawing/2014/chart" uri="{C3380CC4-5D6E-409C-BE32-E72D297353CC}">
              <c16:uniqueId val="{00000001-4D27-475F-A765-65E9E7215B86}"/>
            </c:ext>
          </c:extLst>
        </c:ser>
        <c:ser>
          <c:idx val="2"/>
          <c:order val="2"/>
          <c:tx>
            <c:strRef>
              <c:f>'T&amp;D'!$B$11:$B$13</c:f>
              <c:strCache>
                <c:ptCount val="3"/>
                <c:pt idx="0">
                  <c:v>SDG&amp;E</c:v>
                </c:pt>
              </c:strCache>
            </c:strRef>
          </c:tx>
          <c:spPr>
            <a:solidFill>
              <a:schemeClr val="accent3">
                <a:lumMod val="50000"/>
              </a:schemeClr>
            </a:solidFill>
            <a:ln>
              <a:noFill/>
            </a:ln>
            <a:effectLst/>
          </c:spPr>
          <c:invertIfNegative val="0"/>
          <c:cat>
            <c:strRef>
              <c:f>'T&amp;D'!$C$5:$C$7</c:f>
              <c:strCache>
                <c:ptCount val="3"/>
                <c:pt idx="0">
                  <c:v>Residential</c:v>
                </c:pt>
                <c:pt idx="1">
                  <c:v>Commercial</c:v>
                </c:pt>
                <c:pt idx="2">
                  <c:v>Total Core</c:v>
                </c:pt>
              </c:strCache>
            </c:strRef>
          </c:cat>
          <c:val>
            <c:numRef>
              <c:f>'T&amp;D'!$F$11:$F$13</c:f>
              <c:numCache>
                <c:formatCode>"$"#,##0.00_);[Red]\("$"#,##0.00\)</c:formatCode>
                <c:ptCount val="3"/>
                <c:pt idx="0">
                  <c:v>0.46</c:v>
                </c:pt>
                <c:pt idx="1">
                  <c:v>0.23</c:v>
                </c:pt>
                <c:pt idx="2">
                  <c:v>0.36</c:v>
                </c:pt>
              </c:numCache>
            </c:numRef>
          </c:val>
          <c:extLst>
            <c:ext xmlns:c16="http://schemas.microsoft.com/office/drawing/2014/chart" uri="{C3380CC4-5D6E-409C-BE32-E72D297353CC}">
              <c16:uniqueId val="{00000002-4D27-475F-A765-65E9E7215B86}"/>
            </c:ext>
          </c:extLst>
        </c:ser>
        <c:dLbls>
          <c:showLegendKey val="0"/>
          <c:showVal val="0"/>
          <c:showCatName val="0"/>
          <c:showSerName val="0"/>
          <c:showPercent val="0"/>
          <c:showBubbleSize val="0"/>
        </c:dLbls>
        <c:gapWidth val="100"/>
        <c:overlap val="-5"/>
        <c:axId val="988412831"/>
        <c:axId val="988410911"/>
      </c:barChart>
      <c:catAx>
        <c:axId val="988412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988410911"/>
        <c:crosses val="autoZero"/>
        <c:auto val="1"/>
        <c:lblAlgn val="ctr"/>
        <c:lblOffset val="100"/>
        <c:noMultiLvlLbl val="0"/>
      </c:catAx>
      <c:valAx>
        <c:axId val="988410911"/>
        <c:scaling>
          <c:orientation val="minMax"/>
        </c:scaling>
        <c:delete val="0"/>
        <c:axPos val="l"/>
        <c:title>
          <c:tx>
            <c:strRef>
              <c:f>'T&amp;D'!$C$15</c:f>
              <c:strCache>
                <c:ptCount val="1"/>
                <c:pt idx="0">
                  <c:v>2026$/Therm</c:v>
                </c:pt>
              </c:strCache>
            </c:strRef>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quot;$&quot;#,##0.00_);[Red]\(&quot;$&quot;#,##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98841283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numRef>
              <c:f>'IEPR Gas Prices Nominal'!$T$5:$AW$5</c:f>
              <c:numCache>
                <c:formatCode>General</c:formatCode>
                <c:ptCount val="3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numCache>
            </c:numRef>
          </c:cat>
          <c:val>
            <c:numRef>
              <c:f>'IEPR Gas Prices Nominal'!$T$18:$AW$18</c:f>
              <c:numCache>
                <c:formatCode>0.000</c:formatCode>
                <c:ptCount val="30"/>
                <c:pt idx="0">
                  <c:v>5.7577397035741198</c:v>
                </c:pt>
                <c:pt idx="1">
                  <c:v>5.8757627265464931</c:v>
                </c:pt>
                <c:pt idx="2">
                  <c:v>5.9950341718858633</c:v>
                </c:pt>
                <c:pt idx="3">
                  <c:v>6.1169805772507369</c:v>
                </c:pt>
                <c:pt idx="4">
                  <c:v>6.2410943710292086</c:v>
                </c:pt>
                <c:pt idx="5">
                  <c:v>6.3673962123381846</c:v>
                </c:pt>
                <c:pt idx="6">
                  <c:v>6.4983956477362037</c:v>
                </c:pt>
                <c:pt idx="7">
                  <c:v>6.6330226027566859</c:v>
                </c:pt>
                <c:pt idx="8">
                  <c:v>6.7725850465173787</c:v>
                </c:pt>
                <c:pt idx="9">
                  <c:v>6.9144733403876906</c:v>
                </c:pt>
                <c:pt idx="10">
                  <c:v>7.0584011402671871</c:v>
                </c:pt>
                <c:pt idx="11">
                  <c:v>7.2085340122779273</c:v>
                </c:pt>
                <c:pt idx="12">
                  <c:v>7.3650154304837647</c:v>
                </c:pt>
                <c:pt idx="13">
                  <c:v>7.526657657665516</c:v>
                </c:pt>
                <c:pt idx="14">
                  <c:v>7.6921053791318839</c:v>
                </c:pt>
                <c:pt idx="15">
                  <c:v>7.8607523065524871</c:v>
                </c:pt>
                <c:pt idx="16">
                  <c:v>8.0327312408870259</c:v>
                </c:pt>
                <c:pt idx="17">
                  <c:v>8.2090050401156791</c:v>
                </c:pt>
                <c:pt idx="18">
                  <c:v>8.3895656741513509</c:v>
                </c:pt>
                <c:pt idx="19">
                  <c:v>8.5739567951133644</c:v>
                </c:pt>
                <c:pt idx="20">
                  <c:v>8.7628350025503163</c:v>
                </c:pt>
                <c:pt idx="21">
                  <c:v>8.9565160919471545</c:v>
                </c:pt>
                <c:pt idx="22">
                  <c:v>9.1551985018552546</c:v>
                </c:pt>
                <c:pt idx="23">
                  <c:v>9.3582136524542676</c:v>
                </c:pt>
                <c:pt idx="24">
                  <c:v>9.5652409190065004</c:v>
                </c:pt>
                <c:pt idx="25">
                  <c:v>9.7563510162574527</c:v>
                </c:pt>
                <c:pt idx="26">
                  <c:v>9.9588742210767549</c:v>
                </c:pt>
                <c:pt idx="27">
                  <c:v>10.161215651285602</c:v>
                </c:pt>
                <c:pt idx="28">
                  <c:v>10.362952261610966</c:v>
                </c:pt>
                <c:pt idx="29">
                  <c:v>10.563528610950309</c:v>
                </c:pt>
              </c:numCache>
            </c:numRef>
          </c:val>
          <c:smooth val="0"/>
          <c:extLst>
            <c:ext xmlns:c16="http://schemas.microsoft.com/office/drawing/2014/chart" uri="{C3380CC4-5D6E-409C-BE32-E72D297353CC}">
              <c16:uniqueId val="{00000000-36E3-4FA6-848D-94984F39BAD9}"/>
            </c:ext>
          </c:extLst>
        </c:ser>
        <c:dLbls>
          <c:showLegendKey val="0"/>
          <c:showVal val="0"/>
          <c:showCatName val="0"/>
          <c:showSerName val="0"/>
          <c:showPercent val="0"/>
          <c:showBubbleSize val="0"/>
        </c:dLbls>
        <c:smooth val="0"/>
        <c:axId val="982918207"/>
        <c:axId val="982923007"/>
      </c:lineChart>
      <c:catAx>
        <c:axId val="982918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82923007"/>
        <c:crosses val="autoZero"/>
        <c:auto val="1"/>
        <c:lblAlgn val="ctr"/>
        <c:lblOffset val="100"/>
        <c:noMultiLvlLbl val="0"/>
      </c:catAx>
      <c:valAx>
        <c:axId val="9829230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a:t>Nominal $/MMBtu</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829182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75000"/>
        </a:schemeClr>
      </a:solidFill>
      <a:round/>
    </a:ln>
    <a:effectLst/>
  </c:spPr>
  <c:txPr>
    <a:bodyPr/>
    <a:lstStyle/>
    <a:p>
      <a:pPr>
        <a:defRPr sz="1100">
          <a:solidFill>
            <a:schemeClr val="tx1">
              <a:lumMod val="65000"/>
              <a:lumOff val="35000"/>
            </a:schemeClr>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584834</xdr:colOff>
      <xdr:row>13</xdr:row>
      <xdr:rowOff>131445</xdr:rowOff>
    </xdr:from>
    <xdr:to>
      <xdr:col>8</xdr:col>
      <xdr:colOff>421004</xdr:colOff>
      <xdr:row>21</xdr:row>
      <xdr:rowOff>127635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84834" y="2425065"/>
          <a:ext cx="5330190"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Gas Model is designed to output information used</a:t>
          </a:r>
          <a:r>
            <a:rPr lang="en-US" sz="1100" baseline="0"/>
            <a:t> for the evaluation of energy efficiency programs that impact natural gas usage. The model uses a simple representation of gas avoided costs (commodity and T&amp;D capacity).  </a:t>
          </a:r>
        </a:p>
        <a:p>
          <a:endParaRPr lang="en-US" sz="1100"/>
        </a:p>
        <a:p>
          <a:r>
            <a:rPr lang="en-US" sz="1100"/>
            <a:t>To generate results, the user</a:t>
          </a:r>
          <a:r>
            <a:rPr lang="en-US" sz="1100" baseline="0"/>
            <a:t> need only change inputs of the User Dashboard tab.  The monthly output is shown at the bottom of that tab.</a:t>
          </a:r>
          <a:endParaRPr lang="en-US" sz="1100"/>
        </a:p>
      </xdr:txBody>
    </xdr:sp>
    <xdr:clientData/>
  </xdr:twoCellAnchor>
  <xdr:twoCellAnchor editAs="oneCell">
    <xdr:from>
      <xdr:col>1</xdr:col>
      <xdr:colOff>19050</xdr:colOff>
      <xdr:row>4</xdr:row>
      <xdr:rowOff>47625</xdr:rowOff>
    </xdr:from>
    <xdr:to>
      <xdr:col>4</xdr:col>
      <xdr:colOff>370790</xdr:colOff>
      <xdr:row>7</xdr:row>
      <xdr:rowOff>46990</xdr:rowOff>
    </xdr:to>
    <xdr:pic>
      <xdr:nvPicPr>
        <xdr:cNvPr id="3" name="Picture 2" descr="E3 fin logo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340" t="19754" b="65335"/>
        <a:stretch>
          <a:fillRect/>
        </a:stretch>
      </xdr:blipFill>
      <xdr:spPr bwMode="auto">
        <a:xfrm>
          <a:off x="514350" y="1066800"/>
          <a:ext cx="33876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4</xdr:row>
      <xdr:rowOff>47625</xdr:rowOff>
    </xdr:from>
    <xdr:to>
      <xdr:col>5</xdr:col>
      <xdr:colOff>349885</xdr:colOff>
      <xdr:row>7</xdr:row>
      <xdr:rowOff>46990</xdr:rowOff>
    </xdr:to>
    <xdr:pic>
      <xdr:nvPicPr>
        <xdr:cNvPr id="4" name="Picture 1" descr="E3 fin logos">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340" t="19754" b="65335"/>
        <a:stretch>
          <a:fillRect/>
        </a:stretch>
      </xdr:blipFill>
      <xdr:spPr bwMode="auto">
        <a:xfrm>
          <a:off x="590550" y="936625"/>
          <a:ext cx="3752850" cy="527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3172</xdr:colOff>
      <xdr:row>32</xdr:row>
      <xdr:rowOff>0</xdr:rowOff>
    </xdr:from>
    <xdr:to>
      <xdr:col>18</xdr:col>
      <xdr:colOff>0</xdr:colOff>
      <xdr:row>44</xdr:row>
      <xdr:rowOff>0</xdr:rowOff>
    </xdr:to>
    <xdr:graphicFrame macro="">
      <xdr:nvGraphicFramePr>
        <xdr:cNvPr id="7" name="Chart 6">
          <a:extLst>
            <a:ext uri="{FF2B5EF4-FFF2-40B4-BE49-F238E27FC236}">
              <a16:creationId xmlns:a16="http://schemas.microsoft.com/office/drawing/2014/main" id="{DF481D7A-F74B-4D34-B844-EBEA6FB9AC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173</xdr:row>
      <xdr:rowOff>0</xdr:rowOff>
    </xdr:from>
    <xdr:to>
      <xdr:col>10</xdr:col>
      <xdr:colOff>154304</xdr:colOff>
      <xdr:row>188</xdr:row>
      <xdr:rowOff>31115</xdr:rowOff>
    </xdr:to>
    <xdr:graphicFrame macro="">
      <xdr:nvGraphicFramePr>
        <xdr:cNvPr id="3" name="Chart 2">
          <a:extLst>
            <a:ext uri="{FF2B5EF4-FFF2-40B4-BE49-F238E27FC236}">
              <a16:creationId xmlns:a16="http://schemas.microsoft.com/office/drawing/2014/main" id="{409C4EEC-277D-4A5B-97F3-E0CA7FCD2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5</xdr:col>
      <xdr:colOff>0</xdr:colOff>
      <xdr:row>52</xdr:row>
      <xdr:rowOff>0</xdr:rowOff>
    </xdr:to>
    <xdr:graphicFrame macro="">
      <xdr:nvGraphicFramePr>
        <xdr:cNvPr id="3" name="Chart 2">
          <a:extLst>
            <a:ext uri="{FF2B5EF4-FFF2-40B4-BE49-F238E27FC236}">
              <a16:creationId xmlns:a16="http://schemas.microsoft.com/office/drawing/2014/main" id="{8348F6F6-C3D9-4006-BC38-0BBD90288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0</xdr:colOff>
      <xdr:row>32</xdr:row>
      <xdr:rowOff>1</xdr:rowOff>
    </xdr:from>
    <xdr:to>
      <xdr:col>16</xdr:col>
      <xdr:colOff>117474</xdr:colOff>
      <xdr:row>52</xdr:row>
      <xdr:rowOff>1</xdr:rowOff>
    </xdr:to>
    <xdr:graphicFrame macro="">
      <xdr:nvGraphicFramePr>
        <xdr:cNvPr id="4" name="Chart 3">
          <a:extLst>
            <a:ext uri="{FF2B5EF4-FFF2-40B4-BE49-F238E27FC236}">
              <a16:creationId xmlns:a16="http://schemas.microsoft.com/office/drawing/2014/main" id="{96A392FC-2B1A-471C-AA53-8C11F97F8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32</xdr:row>
      <xdr:rowOff>0</xdr:rowOff>
    </xdr:from>
    <xdr:to>
      <xdr:col>30</xdr:col>
      <xdr:colOff>0</xdr:colOff>
      <xdr:row>52</xdr:row>
      <xdr:rowOff>0</xdr:rowOff>
    </xdr:to>
    <xdr:graphicFrame macro="">
      <xdr:nvGraphicFramePr>
        <xdr:cNvPr id="6" name="Chart 5">
          <a:extLst>
            <a:ext uri="{FF2B5EF4-FFF2-40B4-BE49-F238E27FC236}">
              <a16:creationId xmlns:a16="http://schemas.microsoft.com/office/drawing/2014/main" id="{D2731529-20A6-41E7-BCA3-5AAA38725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65</xdr:row>
      <xdr:rowOff>0</xdr:rowOff>
    </xdr:from>
    <xdr:to>
      <xdr:col>13</xdr:col>
      <xdr:colOff>295275</xdr:colOff>
      <xdr:row>81</xdr:row>
      <xdr:rowOff>177801</xdr:rowOff>
    </xdr:to>
    <xdr:graphicFrame macro="">
      <xdr:nvGraphicFramePr>
        <xdr:cNvPr id="2" name="Chart 1">
          <a:extLst>
            <a:ext uri="{FF2B5EF4-FFF2-40B4-BE49-F238E27FC236}">
              <a16:creationId xmlns:a16="http://schemas.microsoft.com/office/drawing/2014/main" id="{5BC7176C-3907-4A8A-894D-BCDF4B3CAE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37</xdr:row>
      <xdr:rowOff>0</xdr:rowOff>
    </xdr:from>
    <xdr:to>
      <xdr:col>13</xdr:col>
      <xdr:colOff>0</xdr:colOff>
      <xdr:row>51</xdr:row>
      <xdr:rowOff>0</xdr:rowOff>
    </xdr:to>
    <xdr:graphicFrame macro="">
      <xdr:nvGraphicFramePr>
        <xdr:cNvPr id="3" name="Chart 2">
          <a:extLst>
            <a:ext uri="{FF2B5EF4-FFF2-40B4-BE49-F238E27FC236}">
              <a16:creationId xmlns:a16="http://schemas.microsoft.com/office/drawing/2014/main" id="{CA73F19D-4222-4CA3-BE5A-812B9BDA9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14</xdr:row>
      <xdr:rowOff>0</xdr:rowOff>
    </xdr:from>
    <xdr:to>
      <xdr:col>15</xdr:col>
      <xdr:colOff>0</xdr:colOff>
      <xdr:row>24</xdr:row>
      <xdr:rowOff>0</xdr:rowOff>
    </xdr:to>
    <xdr:graphicFrame macro="">
      <xdr:nvGraphicFramePr>
        <xdr:cNvPr id="3" name="Chart 2">
          <a:extLst>
            <a:ext uri="{FF2B5EF4-FFF2-40B4-BE49-F238E27FC236}">
              <a16:creationId xmlns:a16="http://schemas.microsoft.com/office/drawing/2014/main" id="{87B202EA-8B50-4E87-8C30-205B6E8BB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50</xdr:col>
      <xdr:colOff>0</xdr:colOff>
      <xdr:row>6</xdr:row>
      <xdr:rowOff>0</xdr:rowOff>
    </xdr:from>
    <xdr:to>
      <xdr:col>58</xdr:col>
      <xdr:colOff>521970</xdr:colOff>
      <xdr:row>21</xdr:row>
      <xdr:rowOff>0</xdr:rowOff>
    </xdr:to>
    <xdr:graphicFrame macro="">
      <xdr:nvGraphicFramePr>
        <xdr:cNvPr id="2" name="Chart 1">
          <a:extLst>
            <a:ext uri="{FF2B5EF4-FFF2-40B4-BE49-F238E27FC236}">
              <a16:creationId xmlns:a16="http://schemas.microsoft.com/office/drawing/2014/main" id="{2B3731D4-FE45-42C6-A512-68D365635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E3 Template Theme">
  <a:themeElements>
    <a:clrScheme name="E3 Bright">
      <a:dk1>
        <a:srgbClr val="000000"/>
      </a:dk1>
      <a:lt1>
        <a:sysClr val="window" lastClr="FFFFFF"/>
      </a:lt1>
      <a:dk2>
        <a:srgbClr val="034E6E"/>
      </a:dk2>
      <a:lt2>
        <a:srgbClr val="EEECE1"/>
      </a:lt2>
      <a:accent1>
        <a:srgbClr val="6EA1B6"/>
      </a:accent1>
      <a:accent2>
        <a:srgbClr val="FFB700"/>
      </a:accent2>
      <a:accent3>
        <a:srgbClr val="FF5F39"/>
      </a:accent3>
      <a:accent4>
        <a:srgbClr val="30D773"/>
      </a:accent4>
      <a:accent5>
        <a:srgbClr val="FF8700"/>
      </a:accent5>
      <a:accent6>
        <a:srgbClr val="4458D2"/>
      </a:accent6>
      <a:hlink>
        <a:srgbClr val="6565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epa.gov/sites/default/files/2020-09/documents/1.4_natural_gas_combustion.pdf" TargetMode="External"/><Relationship Id="rId13" Type="http://schemas.openxmlformats.org/officeDocument/2006/relationships/hyperlink" Target="https://www.energy.ca.gov/media/4039" TargetMode="External"/><Relationship Id="rId3" Type="http://schemas.openxmlformats.org/officeDocument/2006/relationships/hyperlink" Target="https://www.epa.gov/air-emissions-factors-and-quantification/ap-42-compilation-air-emissions-factors-stationary-sources" TargetMode="External"/><Relationship Id="rId7" Type="http://schemas.openxmlformats.org/officeDocument/2006/relationships/hyperlink" Target="https://www.whitehouse.gov/wp-content/uploads/2021/02/TechnicalSupportDocument_SocialCostofCarbonMethaneNitrousOxide.pdf" TargetMode="External"/><Relationship Id="rId12" Type="http://schemas.openxmlformats.org/officeDocument/2006/relationships/hyperlink" Target="https://docs.cpuc.ca.gov/PublishedDocs/Published/G000/M591/K833/591833054.PDF" TargetMode="External"/><Relationship Id="rId2" Type="http://schemas.openxmlformats.org/officeDocument/2006/relationships/hyperlink" Target="https://www.epa.gov/sites/default/files/2020-09/documents/1.4_natural_gas_combustion.pdf" TargetMode="External"/><Relationship Id="rId1" Type="http://schemas.openxmlformats.org/officeDocument/2006/relationships/hyperlink" Target="https://www.epa.gov/sites/default/files/2020-09/documents/1.4_natural_gas_combustion.pdf" TargetMode="External"/><Relationship Id="rId6" Type="http://schemas.openxmlformats.org/officeDocument/2006/relationships/hyperlink" Target="https://www.ethree.com/wp-content/uploads/2022/01/CPUC-Air-Quality-Report-FINAL.pdf" TargetMode="External"/><Relationship Id="rId11" Type="http://schemas.openxmlformats.org/officeDocument/2006/relationships/hyperlink" Target="https://docs.cpuc.ca.gov/PublishedDocs/Published/G000/M591/K833/591833054.PDF" TargetMode="External"/><Relationship Id="rId5" Type="http://schemas.openxmlformats.org/officeDocument/2006/relationships/hyperlink" Target="https://www.energy.ca.gov/programs-and-topics/topics/energy-assessment/natural-gas-electric-generation-prices-california-and" TargetMode="External"/><Relationship Id="rId15" Type="http://schemas.openxmlformats.org/officeDocument/2006/relationships/printerSettings" Target="../printerSettings/printerSettings9.bin"/><Relationship Id="rId10" Type="http://schemas.openxmlformats.org/officeDocument/2006/relationships/hyperlink" Target="https://docs.cpuc.ca.gov/PublishedDocs/Published/G000/M591/K833/591833054.PDF" TargetMode="External"/><Relationship Id="rId4" Type="http://schemas.openxmlformats.org/officeDocument/2006/relationships/hyperlink" Target="https://www.energy.ca.gov/programs-and-topics/topics/energy-assessment/natural-gas-electric-generation-prices-california-and" TargetMode="External"/><Relationship Id="rId9" Type="http://schemas.openxmlformats.org/officeDocument/2006/relationships/hyperlink" Target="https://www.epa.gov/sites/default/files/2020-09/documents/1.4_natural_gas_combustion.pdf" TargetMode="External"/><Relationship Id="rId14" Type="http://schemas.openxmlformats.org/officeDocument/2006/relationships/hyperlink" Target="https://www.cpuc.ca.gov/dercosteffectivenes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sheetPr>
  <dimension ref="A1:AN81"/>
  <sheetViews>
    <sheetView workbookViewId="0">
      <selection activeCell="I5" sqref="I5"/>
    </sheetView>
  </sheetViews>
  <sheetFormatPr baseColWidth="10" defaultColWidth="9.3984375" defaultRowHeight="13"/>
  <cols>
    <col min="1" max="1" width="8" customWidth="1"/>
    <col min="2" max="2" width="19.3984375" customWidth="1"/>
    <col min="3" max="3" width="22.3984375" customWidth="1"/>
    <col min="11" max="11" width="26" customWidth="1"/>
    <col min="12" max="40" width="9.3984375" style="11"/>
  </cols>
  <sheetData>
    <row r="1" spans="1:11">
      <c r="A1" s="11"/>
      <c r="B1" s="11"/>
      <c r="C1" s="11"/>
      <c r="D1" s="11"/>
      <c r="E1" s="11"/>
      <c r="F1" s="11"/>
      <c r="G1" s="11"/>
      <c r="H1" s="11"/>
      <c r="I1" s="11"/>
      <c r="J1" s="11"/>
      <c r="K1" s="11"/>
    </row>
    <row r="2" spans="1:11" ht="27">
      <c r="A2" s="11"/>
      <c r="B2" s="7" t="s">
        <v>0</v>
      </c>
      <c r="C2" s="8"/>
      <c r="D2" s="11"/>
      <c r="E2" s="11"/>
      <c r="F2" s="11"/>
      <c r="G2" s="11"/>
      <c r="H2" s="11"/>
      <c r="I2" s="11"/>
      <c r="J2" s="11"/>
      <c r="K2" s="11"/>
    </row>
    <row r="3" spans="1:11" ht="16">
      <c r="A3" s="11"/>
      <c r="B3" s="9" t="s">
        <v>1</v>
      </c>
      <c r="C3" s="8"/>
      <c r="D3" s="11"/>
      <c r="E3" s="11"/>
      <c r="F3" s="11"/>
      <c r="G3" s="11"/>
      <c r="H3" s="11"/>
      <c r="I3" s="11"/>
      <c r="J3" s="11"/>
      <c r="K3" s="11"/>
    </row>
    <row r="4" spans="1:11" ht="14">
      <c r="A4" s="11"/>
      <c r="B4" s="10" t="s">
        <v>2</v>
      </c>
      <c r="C4" s="8"/>
      <c r="D4" s="11"/>
      <c r="E4" s="11"/>
      <c r="F4" s="11"/>
      <c r="G4" s="11"/>
      <c r="H4" s="11"/>
      <c r="I4" s="11"/>
      <c r="J4" s="11"/>
      <c r="K4" s="11"/>
    </row>
    <row r="5" spans="1:11" ht="14">
      <c r="A5" s="11"/>
      <c r="B5" s="8"/>
      <c r="C5" s="8"/>
      <c r="D5" s="11"/>
      <c r="E5" s="11"/>
      <c r="F5" s="11"/>
      <c r="G5" s="11"/>
      <c r="H5" s="11"/>
      <c r="I5" s="11"/>
      <c r="J5" s="11"/>
      <c r="K5" s="11"/>
    </row>
    <row r="6" spans="1:11" ht="14">
      <c r="A6" s="11"/>
      <c r="B6" s="8"/>
      <c r="C6" s="8"/>
      <c r="D6" s="11"/>
      <c r="E6" s="11"/>
      <c r="F6" s="11"/>
      <c r="G6" s="11"/>
      <c r="H6" s="11"/>
      <c r="I6" s="11"/>
      <c r="J6" s="11"/>
      <c r="K6" s="11"/>
    </row>
    <row r="7" spans="1:11" ht="14">
      <c r="A7" s="11"/>
      <c r="B7" s="8"/>
      <c r="C7" s="8"/>
      <c r="D7" s="11"/>
      <c r="E7" s="11"/>
      <c r="F7" s="11"/>
      <c r="G7" s="11"/>
      <c r="H7" s="11"/>
      <c r="I7" s="11"/>
      <c r="J7" s="11"/>
      <c r="K7" s="11"/>
    </row>
    <row r="8" spans="1:11" ht="14">
      <c r="A8" s="11"/>
      <c r="B8" s="8"/>
      <c r="C8" s="8"/>
      <c r="D8" s="11"/>
      <c r="E8" s="11"/>
      <c r="F8" s="11"/>
      <c r="G8" s="11"/>
      <c r="H8" s="11"/>
      <c r="I8" s="11"/>
      <c r="J8" s="11"/>
      <c r="K8" s="11"/>
    </row>
    <row r="9" spans="1:11" ht="14">
      <c r="A9" s="11"/>
      <c r="B9" s="267" t="s">
        <v>3</v>
      </c>
      <c r="C9" s="267"/>
      <c r="D9" s="11"/>
      <c r="E9" s="11"/>
      <c r="F9" s="11"/>
      <c r="G9" s="11"/>
      <c r="H9" s="11"/>
      <c r="I9" s="11"/>
      <c r="J9" s="11"/>
      <c r="K9" s="11"/>
    </row>
    <row r="10" spans="1:11" ht="14">
      <c r="A10" s="11"/>
      <c r="B10" s="267" t="s">
        <v>4</v>
      </c>
      <c r="C10" s="267"/>
      <c r="D10" s="11"/>
      <c r="E10" s="11"/>
      <c r="F10" s="11"/>
      <c r="G10" s="11"/>
      <c r="H10" s="11"/>
      <c r="I10" s="11"/>
      <c r="J10" s="11"/>
      <c r="K10" s="11"/>
    </row>
    <row r="11" spans="1:11" ht="14">
      <c r="A11" s="11"/>
      <c r="B11" s="267" t="s">
        <v>5</v>
      </c>
      <c r="C11" s="267"/>
      <c r="D11" s="11"/>
      <c r="E11" s="11"/>
      <c r="F11" s="11"/>
      <c r="G11" s="11"/>
      <c r="H11" s="11"/>
      <c r="I11" s="11"/>
      <c r="J11" s="11"/>
      <c r="K11" s="11"/>
    </row>
    <row r="12" spans="1:11" ht="14">
      <c r="A12" s="11"/>
      <c r="B12" s="267" t="s">
        <v>6</v>
      </c>
      <c r="C12" s="267"/>
      <c r="D12" s="11"/>
      <c r="E12" s="11"/>
      <c r="F12" s="11"/>
      <c r="G12" s="11"/>
      <c r="H12" s="11"/>
      <c r="I12" s="11"/>
      <c r="J12" s="11"/>
      <c r="K12" s="11"/>
    </row>
    <row r="13" spans="1:11" ht="14">
      <c r="A13" s="11"/>
      <c r="B13" s="268">
        <v>46269</v>
      </c>
      <c r="C13" s="268"/>
      <c r="D13" s="11"/>
      <c r="E13" s="11"/>
      <c r="F13" s="11"/>
      <c r="G13" s="11"/>
      <c r="H13" s="11"/>
      <c r="I13" s="11"/>
      <c r="J13" s="11"/>
      <c r="K13" s="11"/>
    </row>
    <row r="14" spans="1:11">
      <c r="A14" s="11"/>
      <c r="B14" s="11"/>
      <c r="C14" s="11"/>
      <c r="D14" s="11"/>
      <c r="E14" s="11"/>
      <c r="F14" s="11"/>
      <c r="G14" s="11"/>
      <c r="H14" s="11"/>
      <c r="I14" s="11"/>
      <c r="J14" s="11"/>
      <c r="K14" s="11"/>
    </row>
    <row r="15" spans="1:11">
      <c r="A15" s="11"/>
      <c r="B15" s="11"/>
      <c r="C15" s="11"/>
      <c r="D15" s="11"/>
      <c r="E15" s="11"/>
      <c r="F15" s="11"/>
      <c r="G15" s="11"/>
      <c r="H15" s="11"/>
      <c r="I15" s="11"/>
      <c r="J15" s="11"/>
      <c r="K15" s="11"/>
    </row>
    <row r="16" spans="1:11">
      <c r="A16" s="11"/>
      <c r="B16" s="11"/>
      <c r="C16" s="11"/>
      <c r="D16" s="11"/>
      <c r="E16" s="11"/>
      <c r="F16" s="11"/>
      <c r="G16" s="11"/>
      <c r="H16" s="11"/>
      <c r="I16" s="11"/>
      <c r="J16" s="11"/>
      <c r="K16" s="11"/>
    </row>
    <row r="17" spans="1:11">
      <c r="A17" s="11"/>
      <c r="B17" s="11"/>
      <c r="C17" s="11"/>
      <c r="D17" s="11"/>
      <c r="E17" s="11"/>
      <c r="F17" s="11"/>
      <c r="G17" s="11"/>
      <c r="H17" s="11"/>
      <c r="I17" s="11"/>
      <c r="J17" s="11"/>
      <c r="K17" s="11"/>
    </row>
    <row r="18" spans="1:11">
      <c r="A18" s="11"/>
      <c r="B18" s="11"/>
      <c r="C18" s="11"/>
      <c r="D18" s="11"/>
      <c r="E18" s="11"/>
      <c r="F18" s="11"/>
      <c r="G18" s="11"/>
      <c r="H18" s="11"/>
      <c r="I18" s="11"/>
      <c r="J18" s="11"/>
      <c r="K18" s="11"/>
    </row>
    <row r="19" spans="1:11">
      <c r="A19" s="11"/>
      <c r="B19" s="11"/>
      <c r="C19" s="11"/>
      <c r="D19" s="11"/>
      <c r="E19" s="11"/>
      <c r="F19" s="11"/>
      <c r="G19" s="11"/>
      <c r="H19" s="11"/>
      <c r="I19" s="11"/>
      <c r="J19" s="11"/>
      <c r="K19" s="11"/>
    </row>
    <row r="20" spans="1:11">
      <c r="A20" s="11"/>
      <c r="B20" s="11"/>
      <c r="C20" s="11"/>
      <c r="D20" s="11"/>
      <c r="E20" s="11"/>
      <c r="F20" s="11"/>
      <c r="G20" s="11"/>
      <c r="H20" s="11"/>
      <c r="I20" s="11"/>
      <c r="J20" s="11"/>
      <c r="K20" s="11"/>
    </row>
    <row r="21" spans="1:11">
      <c r="A21" s="11"/>
      <c r="B21" s="11"/>
      <c r="C21" s="11"/>
      <c r="D21" s="11"/>
      <c r="E21" s="11"/>
      <c r="F21" s="11"/>
      <c r="G21" s="11"/>
      <c r="H21" s="11"/>
      <c r="I21" s="11"/>
      <c r="J21" s="11"/>
      <c r="K21" s="11"/>
    </row>
    <row r="22" spans="1:11">
      <c r="A22" s="11"/>
      <c r="B22" s="11"/>
      <c r="C22" s="11"/>
      <c r="D22" s="11"/>
      <c r="E22" s="11"/>
      <c r="F22" s="11"/>
      <c r="G22" s="11"/>
      <c r="H22" s="11"/>
      <c r="I22" s="11"/>
      <c r="J22" s="11"/>
      <c r="K22" s="11"/>
    </row>
    <row r="23" spans="1:11">
      <c r="A23" s="11"/>
      <c r="B23" s="11"/>
      <c r="C23" s="11"/>
      <c r="D23" s="11"/>
      <c r="E23" s="11"/>
      <c r="F23" s="11"/>
      <c r="G23" s="11"/>
      <c r="H23" s="11"/>
      <c r="I23" s="11"/>
      <c r="J23" s="11"/>
      <c r="K23" s="11"/>
    </row>
    <row r="24" spans="1:11">
      <c r="A24" s="11"/>
      <c r="B24" s="11"/>
      <c r="C24" s="11"/>
      <c r="D24" s="11"/>
      <c r="E24" s="11"/>
      <c r="F24" s="11"/>
      <c r="G24" s="11"/>
      <c r="H24" s="11"/>
      <c r="I24" s="11"/>
      <c r="J24" s="11"/>
      <c r="K24" s="11"/>
    </row>
    <row r="25" spans="1:11">
      <c r="A25" s="11"/>
      <c r="B25" s="11"/>
      <c r="C25" s="11"/>
      <c r="D25" s="11"/>
      <c r="E25" s="11"/>
      <c r="F25" s="11"/>
      <c r="G25" s="11"/>
      <c r="H25" s="11"/>
      <c r="I25" s="11"/>
      <c r="J25" s="11"/>
      <c r="K25" s="11"/>
    </row>
    <row r="26" spans="1:11" ht="15">
      <c r="A26" s="11"/>
      <c r="B26" s="94" t="s">
        <v>7</v>
      </c>
      <c r="C26" s="95"/>
      <c r="D26" s="11"/>
      <c r="E26" s="11"/>
      <c r="F26" s="11"/>
      <c r="G26" s="11"/>
      <c r="H26" s="11"/>
      <c r="I26" s="11"/>
      <c r="J26" s="11"/>
      <c r="K26" s="11"/>
    </row>
    <row r="27" spans="1:11" ht="15">
      <c r="A27" s="11"/>
      <c r="B27" s="109" t="s">
        <v>8</v>
      </c>
      <c r="C27" s="110"/>
      <c r="D27" s="11"/>
      <c r="E27" s="11"/>
      <c r="F27" s="11"/>
      <c r="G27" s="11"/>
      <c r="H27" s="11"/>
      <c r="I27" s="11"/>
      <c r="J27" s="11"/>
      <c r="K27" s="11"/>
    </row>
    <row r="28" spans="1:11" ht="15">
      <c r="A28" s="11"/>
      <c r="B28" s="96" t="s">
        <v>9</v>
      </c>
      <c r="C28" s="97"/>
      <c r="D28" s="11"/>
      <c r="E28" s="11"/>
      <c r="F28" s="11"/>
      <c r="G28" s="11"/>
      <c r="H28" s="11"/>
      <c r="I28" s="11"/>
      <c r="J28" s="11"/>
      <c r="K28" s="11"/>
    </row>
    <row r="29" spans="1:11" ht="15">
      <c r="A29" s="11"/>
      <c r="B29" s="98" t="s">
        <v>10</v>
      </c>
      <c r="C29" s="99"/>
      <c r="D29" s="11"/>
      <c r="E29" s="11"/>
      <c r="F29" s="11"/>
      <c r="G29" s="11"/>
      <c r="H29" s="11"/>
      <c r="I29" s="11"/>
      <c r="J29" s="11"/>
      <c r="K29" s="11"/>
    </row>
    <row r="30" spans="1:11" ht="15">
      <c r="A30" s="11"/>
      <c r="B30" s="100" t="s">
        <v>11</v>
      </c>
      <c r="C30" s="101"/>
      <c r="D30" s="11"/>
      <c r="E30" s="11"/>
      <c r="F30" s="11"/>
      <c r="G30" s="11"/>
      <c r="H30" s="11"/>
      <c r="I30" s="11"/>
      <c r="J30" s="11"/>
      <c r="K30" s="11"/>
    </row>
    <row r="31" spans="1:11" ht="15">
      <c r="A31" s="11"/>
      <c r="B31" s="102" t="s">
        <v>12</v>
      </c>
      <c r="C31" s="103"/>
      <c r="D31" s="11"/>
      <c r="E31" s="11"/>
      <c r="F31" s="11"/>
      <c r="G31" s="11"/>
      <c r="H31" s="11"/>
      <c r="I31" s="11"/>
      <c r="J31" s="11"/>
      <c r="K31" s="11"/>
    </row>
    <row r="32" spans="1:11" ht="15">
      <c r="A32" s="11"/>
      <c r="B32" s="241" t="s">
        <v>13</v>
      </c>
      <c r="C32" s="242"/>
      <c r="D32" s="11"/>
      <c r="E32" s="11"/>
      <c r="F32" s="11"/>
      <c r="G32" s="11"/>
      <c r="H32" s="11"/>
      <c r="I32" s="11"/>
      <c r="J32" s="11"/>
      <c r="K32" s="11"/>
    </row>
    <row r="33" spans="1:11" ht="15">
      <c r="A33" s="11"/>
      <c r="B33" s="104" t="s">
        <v>14</v>
      </c>
      <c r="C33" s="105"/>
      <c r="D33" s="11"/>
      <c r="E33" s="11"/>
      <c r="F33" s="11"/>
      <c r="G33" s="11"/>
      <c r="H33" s="11"/>
      <c r="I33" s="11"/>
      <c r="J33" s="11"/>
      <c r="K33" s="11"/>
    </row>
    <row r="34" spans="1:11" ht="14">
      <c r="A34" s="11"/>
      <c r="B34" s="106"/>
      <c r="C34" s="11"/>
      <c r="D34" s="11"/>
      <c r="E34" s="11"/>
      <c r="F34" s="11"/>
      <c r="G34" s="11"/>
      <c r="H34" s="11"/>
      <c r="I34" s="11"/>
      <c r="J34" s="11"/>
      <c r="K34" s="11"/>
    </row>
    <row r="35" spans="1:11">
      <c r="A35" s="11"/>
      <c r="B35" s="11"/>
      <c r="C35" s="11"/>
      <c r="D35" s="11"/>
      <c r="E35" s="11"/>
      <c r="F35" s="11"/>
      <c r="G35" s="11"/>
      <c r="H35" s="11"/>
      <c r="I35" s="11"/>
      <c r="J35" s="11"/>
      <c r="K35" s="11"/>
    </row>
    <row r="36" spans="1:11">
      <c r="A36" s="11"/>
      <c r="B36" s="11"/>
      <c r="C36" s="11"/>
      <c r="D36" s="11"/>
      <c r="E36" s="11"/>
      <c r="F36" s="11"/>
      <c r="G36" s="11"/>
      <c r="H36" s="11"/>
      <c r="I36" s="11"/>
      <c r="J36" s="11"/>
      <c r="K36" s="11"/>
    </row>
    <row r="37" spans="1:11">
      <c r="A37" s="11"/>
      <c r="B37" s="11"/>
      <c r="C37" s="11"/>
      <c r="D37" s="11"/>
      <c r="E37" s="11"/>
      <c r="F37" s="11"/>
      <c r="G37" s="11"/>
      <c r="H37" s="11"/>
      <c r="I37" s="11"/>
      <c r="J37" s="11"/>
      <c r="K37" s="11"/>
    </row>
    <row r="38" spans="1:11" s="11" customFormat="1"/>
    <row r="39" spans="1:11" s="11" customFormat="1"/>
    <row r="40" spans="1:11" s="11" customFormat="1"/>
    <row r="41" spans="1:11" s="11" customFormat="1"/>
    <row r="42" spans="1:11" s="11" customFormat="1"/>
    <row r="43" spans="1:11" s="11" customFormat="1"/>
    <row r="44" spans="1:11" s="11" customFormat="1"/>
    <row r="45" spans="1:11" s="11" customFormat="1"/>
    <row r="46" spans="1:11" s="11" customFormat="1"/>
    <row r="47" spans="1:11" s="11" customFormat="1"/>
    <row r="48" spans="1:11" s="11" customFormat="1"/>
    <row r="49" s="11" customFormat="1"/>
    <row r="50" s="11" customFormat="1"/>
    <row r="51" s="11" customFormat="1"/>
    <row r="52" s="11" customFormat="1"/>
    <row r="53" s="11" customFormat="1"/>
    <row r="54" s="11" customFormat="1"/>
    <row r="55" s="11" customFormat="1"/>
    <row r="56" s="11" customFormat="1"/>
    <row r="57" s="11" customFormat="1"/>
    <row r="58" s="11" customFormat="1"/>
    <row r="59" s="11" customFormat="1"/>
    <row r="60" s="11" customFormat="1"/>
    <row r="61" s="11" customFormat="1"/>
    <row r="62" s="11" customFormat="1"/>
    <row r="63" s="11" customFormat="1"/>
    <row r="64" s="11" customFormat="1"/>
    <row r="65" s="11" customFormat="1"/>
    <row r="66" s="11" customFormat="1"/>
    <row r="67" s="11" customFormat="1"/>
    <row r="68" s="11" customFormat="1"/>
    <row r="69" s="11" customFormat="1"/>
    <row r="70" s="11" customFormat="1"/>
    <row r="71" s="11" customFormat="1"/>
    <row r="72" s="11" customFormat="1"/>
    <row r="73" s="11" customFormat="1"/>
    <row r="74" s="11" customFormat="1"/>
    <row r="75" s="11" customFormat="1"/>
    <row r="76" s="11" customFormat="1"/>
    <row r="77" s="11" customFormat="1"/>
    <row r="78" s="11" customFormat="1"/>
    <row r="79" s="11" customFormat="1"/>
    <row r="80" s="11" customFormat="1"/>
    <row r="81" s="11" customFormat="1"/>
  </sheetData>
  <mergeCells count="5">
    <mergeCell ref="B9:C9"/>
    <mergeCell ref="B10:C10"/>
    <mergeCell ref="B11:C11"/>
    <mergeCell ref="B12:C12"/>
    <mergeCell ref="B13:C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F9945-3F33-418B-A865-30226C69B4B9}">
  <sheetPr codeName="Sheet12">
    <tabColor theme="5"/>
  </sheetPr>
  <dimension ref="A1:BG413"/>
  <sheetViews>
    <sheetView topLeftCell="A33" zoomScale="90" workbookViewId="0">
      <selection activeCell="Q54" sqref="Q54"/>
    </sheetView>
  </sheetViews>
  <sheetFormatPr baseColWidth="10" defaultColWidth="9.3984375" defaultRowHeight="15"/>
  <cols>
    <col min="1" max="1" width="8" style="5" customWidth="1"/>
    <col min="5" max="5" width="12" customWidth="1"/>
    <col min="6" max="6" width="23.3984375" customWidth="1"/>
    <col min="7" max="7" width="21.59765625" customWidth="1"/>
    <col min="8" max="8" width="17" bestFit="1" customWidth="1"/>
    <col min="9" max="9" width="20.3984375" customWidth="1"/>
    <col min="10" max="10" width="22.59765625" customWidth="1"/>
    <col min="11" max="11" width="17" bestFit="1" customWidth="1"/>
    <col min="12" max="12" width="19.59765625" bestFit="1" customWidth="1"/>
    <col min="13" max="13" width="21.59765625" bestFit="1" customWidth="1"/>
    <col min="14" max="14" width="17" bestFit="1" customWidth="1"/>
    <col min="16" max="16" width="20.3984375" customWidth="1"/>
    <col min="17" max="17" width="28.3984375" bestFit="1" customWidth="1"/>
    <col min="18" max="18" width="10.3984375" style="19" customWidth="1"/>
    <col min="19" max="19" width="17.59765625" style="19" bestFit="1" customWidth="1"/>
    <col min="20" max="20" width="10" style="19" customWidth="1"/>
    <col min="21" max="50" width="9.3984375" style="19"/>
  </cols>
  <sheetData>
    <row r="1" spans="1:59" s="19" customFormat="1">
      <c r="A1" s="5"/>
    </row>
    <row r="2" spans="1:59" s="19" customFormat="1">
      <c r="A2" s="234"/>
      <c r="B2" s="234" t="s">
        <v>197</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row>
    <row r="3" spans="1:59" s="19" customFormat="1">
      <c r="A3" s="5"/>
    </row>
    <row r="4" spans="1:59">
      <c r="A4" s="60"/>
      <c r="B4" s="273"/>
      <c r="C4" s="273"/>
      <c r="D4" s="234"/>
      <c r="E4" s="234"/>
      <c r="F4" s="234" t="s">
        <v>198</v>
      </c>
      <c r="G4" s="273" t="s">
        <v>198</v>
      </c>
      <c r="H4" s="273"/>
      <c r="I4" s="234" t="s">
        <v>199</v>
      </c>
      <c r="J4" s="273" t="s">
        <v>200</v>
      </c>
      <c r="K4" s="273"/>
      <c r="L4" s="273" t="s">
        <v>201</v>
      </c>
      <c r="M4" s="273"/>
      <c r="N4" s="273"/>
      <c r="O4" s="19"/>
      <c r="P4" s="273" t="s">
        <v>202</v>
      </c>
      <c r="Q4" s="273" t="s">
        <v>203</v>
      </c>
      <c r="R4" s="139"/>
      <c r="S4" s="140"/>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row>
    <row r="5" spans="1:59" ht="16" thickBot="1">
      <c r="A5" s="60"/>
      <c r="B5" s="234" t="s">
        <v>204</v>
      </c>
      <c r="C5" s="234" t="s">
        <v>49</v>
      </c>
      <c r="D5" s="234" t="s">
        <v>205</v>
      </c>
      <c r="E5" s="234" t="s">
        <v>206</v>
      </c>
      <c r="F5" s="234" t="s">
        <v>207</v>
      </c>
      <c r="G5" s="234" t="s">
        <v>208</v>
      </c>
      <c r="H5" s="234" t="s">
        <v>209</v>
      </c>
      <c r="I5" s="234" t="s">
        <v>207</v>
      </c>
      <c r="J5" s="234" t="s">
        <v>208</v>
      </c>
      <c r="K5" s="234" t="s">
        <v>209</v>
      </c>
      <c r="L5" s="234" t="s">
        <v>207</v>
      </c>
      <c r="M5" s="234" t="s">
        <v>208</v>
      </c>
      <c r="N5" s="234" t="s">
        <v>209</v>
      </c>
      <c r="O5" s="19"/>
      <c r="P5" s="273"/>
      <c r="Q5" s="273"/>
      <c r="R5" s="139"/>
      <c r="S5" s="238" t="s">
        <v>210</v>
      </c>
      <c r="T5" s="234">
        <f>'User Dashboard'!E$58</f>
        <v>2026</v>
      </c>
      <c r="U5" s="234">
        <f>'User Dashboard'!F$58</f>
        <v>2027</v>
      </c>
      <c r="V5" s="234">
        <f>'User Dashboard'!G$58</f>
        <v>2028</v>
      </c>
      <c r="W5" s="234">
        <f>'User Dashboard'!H$58</f>
        <v>2029</v>
      </c>
      <c r="X5" s="234">
        <f>'User Dashboard'!I$58</f>
        <v>2030</v>
      </c>
      <c r="Y5" s="234">
        <f>'User Dashboard'!J$58</f>
        <v>2031</v>
      </c>
      <c r="Z5" s="234">
        <f>'User Dashboard'!K$58</f>
        <v>2032</v>
      </c>
      <c r="AA5" s="234">
        <f>'User Dashboard'!L$58</f>
        <v>2033</v>
      </c>
      <c r="AB5" s="234">
        <f>'User Dashboard'!M$58</f>
        <v>2034</v>
      </c>
      <c r="AC5" s="234">
        <f>'User Dashboard'!N$58</f>
        <v>2035</v>
      </c>
      <c r="AD5" s="234">
        <f>'User Dashboard'!O$58</f>
        <v>2036</v>
      </c>
      <c r="AE5" s="234">
        <f>'User Dashboard'!P$58</f>
        <v>2037</v>
      </c>
      <c r="AF5" s="234">
        <f>'User Dashboard'!Q$58</f>
        <v>2038</v>
      </c>
      <c r="AG5" s="234">
        <f>'User Dashboard'!R$58</f>
        <v>2039</v>
      </c>
      <c r="AH5" s="234">
        <f>'User Dashboard'!S$58</f>
        <v>2040</v>
      </c>
      <c r="AI5" s="234">
        <f>'User Dashboard'!T$58</f>
        <v>2041</v>
      </c>
      <c r="AJ5" s="234">
        <f>'User Dashboard'!U$58</f>
        <v>2042</v>
      </c>
      <c r="AK5" s="234">
        <f>'User Dashboard'!V$58</f>
        <v>2043</v>
      </c>
      <c r="AL5" s="234">
        <f>'User Dashboard'!W$58</f>
        <v>2044</v>
      </c>
      <c r="AM5" s="234">
        <f>'User Dashboard'!X$58</f>
        <v>2045</v>
      </c>
      <c r="AN5" s="234">
        <f>'User Dashboard'!Y$58</f>
        <v>2046</v>
      </c>
      <c r="AO5" s="234">
        <f>'User Dashboard'!Z$58</f>
        <v>2047</v>
      </c>
      <c r="AP5" s="234">
        <f>'User Dashboard'!AA$58</f>
        <v>2048</v>
      </c>
      <c r="AQ5" s="234">
        <f>'User Dashboard'!AB$58</f>
        <v>2049</v>
      </c>
      <c r="AR5" s="234">
        <f>'User Dashboard'!AC$58</f>
        <v>2050</v>
      </c>
      <c r="AS5" s="234">
        <f>'User Dashboard'!AD$58</f>
        <v>2051</v>
      </c>
      <c r="AT5" s="234">
        <f>'User Dashboard'!AE$58</f>
        <v>2052</v>
      </c>
      <c r="AU5" s="234">
        <f>'User Dashboard'!AF$58</f>
        <v>2053</v>
      </c>
      <c r="AV5" s="234">
        <f>'User Dashboard'!AG$58</f>
        <v>2054</v>
      </c>
      <c r="AW5" s="234">
        <f>'User Dashboard'!AH$58</f>
        <v>2055</v>
      </c>
      <c r="AY5" s="246" t="s">
        <v>211</v>
      </c>
      <c r="AZ5" s="246"/>
      <c r="BA5" s="246"/>
      <c r="BB5" s="246"/>
      <c r="BC5" s="246"/>
      <c r="BD5" s="246"/>
      <c r="BE5" s="246"/>
      <c r="BF5" s="246"/>
      <c r="BG5" s="246"/>
    </row>
    <row r="6" spans="1:59">
      <c r="B6" s="142">
        <f>YEAR(D6)</f>
        <v>2022</v>
      </c>
      <c r="C6" s="19">
        <f>MONTH(D6)</f>
        <v>1</v>
      </c>
      <c r="D6" s="143">
        <v>44562</v>
      </c>
      <c r="E6" s="19" t="str">
        <f>C6&amp;"-"&amp;B6</f>
        <v>1-2022</v>
      </c>
      <c r="F6" s="91">
        <f>'IEPR Gas Prices Real'!F8*(INDEX('GDP Deflator'!$D$6:$D$91,MATCH('IEPR Gas Prices Nominal'!$B6,'GDP Deflator'!$B$6:$B$91,0)))</f>
        <v>7.1456828023246928</v>
      </c>
      <c r="G6" s="91">
        <f>'IEPR Gas Prices Real'!G8*(INDEX('GDP Deflator'!$D$6:$D$91,MATCH('IEPR Gas Prices Nominal'!$B6,'GDP Deflator'!$B$6:$B$91,0)))</f>
        <v>0.8880808876599291</v>
      </c>
      <c r="H6" s="91">
        <f>'IEPR Gas Prices Real'!H8*(INDEX('GDP Deflator'!$D$6:$D$91,MATCH('IEPR Gas Prices Nominal'!$B6,'GDP Deflator'!$B$6:$B$91,0)))</f>
        <v>8.033763689984621</v>
      </c>
      <c r="I6" s="91">
        <f>'IEPR Gas Prices Real'!I8*(INDEX('GDP Deflator'!$D$6:$D$91,MATCH('IEPR Gas Prices Nominal'!$B6,'GDP Deflator'!$B$6:$B$91,0)))</f>
        <v>7.6905059775732125</v>
      </c>
      <c r="J6" s="91">
        <f>'IEPR Gas Prices Real'!J8*(INDEX('GDP Deflator'!$D$6:$D$91,MATCH('IEPR Gas Prices Nominal'!$B6,'GDP Deflator'!$B$6:$B$91,0)))</f>
        <v>1.4664363155196718</v>
      </c>
      <c r="K6" s="91">
        <f>'IEPR Gas Prices Real'!K8*(INDEX('GDP Deflator'!$D$6:$D$91,MATCH('IEPR Gas Prices Nominal'!$B6,'GDP Deflator'!$B$6:$B$91,0)))</f>
        <v>9.1569422930928841</v>
      </c>
      <c r="L6" s="91">
        <f>'IEPR Gas Prices Real'!L8*(INDEX('GDP Deflator'!$D$6:$D$91,MATCH('IEPR Gas Prices Nominal'!$B6,'GDP Deflator'!$B$6:$B$91,0)))</f>
        <v>7.663440790131764</v>
      </c>
      <c r="M6" s="91">
        <f>'IEPR Gas Prices Real'!M8*(INDEX('GDP Deflator'!$D$6:$D$91,MATCH('IEPR Gas Prices Nominal'!$B6,'GDP Deflator'!$B$6:$B$91,0)))</f>
        <v>0.69253054374736689</v>
      </c>
      <c r="N6" s="91">
        <f>'IEPR Gas Prices Real'!N8*(INDEX('GDP Deflator'!$D$6:$D$91,MATCH('IEPR Gas Prices Nominal'!$B6,'GDP Deflator'!$B$6:$B$91,0)))</f>
        <v>8.3559713338791308</v>
      </c>
      <c r="O6" s="19"/>
      <c r="P6" s="229">
        <f t="shared" ref="P6:P69" si="0">AVERAGE(F6,I6,L6)</f>
        <v>7.4998765233432225</v>
      </c>
      <c r="Q6" s="229">
        <f>AVERAGE(H6,K6,N6)</f>
        <v>8.5155591056522137</v>
      </c>
      <c r="R6" s="144"/>
      <c r="S6" s="145">
        <v>1</v>
      </c>
      <c r="T6" s="230">
        <f t="shared" ref="T6:AB17" si="1">INDEX($P$6:$P$413,MATCH(_xlfn.CONCAT($S6,"-",T$5),$E$6:$E$413,0))</f>
        <v>6.0746325526661664</v>
      </c>
      <c r="U6" s="230">
        <f t="shared" si="1"/>
        <v>6.1995546322925463</v>
      </c>
      <c r="V6" s="230">
        <f t="shared" si="1"/>
        <v>6.3245974535768141</v>
      </c>
      <c r="W6" s="230">
        <f t="shared" si="1"/>
        <v>6.4528315606249516</v>
      </c>
      <c r="X6" s="230">
        <f t="shared" si="1"/>
        <v>6.5841668175389119</v>
      </c>
      <c r="Y6" s="230">
        <f t="shared" si="1"/>
        <v>6.7174832403603171</v>
      </c>
      <c r="Z6" s="230">
        <f t="shared" si="1"/>
        <v>6.854908949297239</v>
      </c>
      <c r="AA6" s="230">
        <f t="shared" si="1"/>
        <v>6.9982175105484439</v>
      </c>
      <c r="AB6" s="230">
        <f t="shared" si="1"/>
        <v>7.1438453349741584</v>
      </c>
      <c r="AC6" s="230">
        <f t="shared" ref="AC6:AL17" si="2">INDEX($P$6:$P$413,MATCH(_xlfn.CONCAT($S6,"-",AC$5),$E$6:$E$413,0))</f>
        <v>7.2963258389387429</v>
      </c>
      <c r="AD6" s="230">
        <f t="shared" si="2"/>
        <v>7.447860569300417</v>
      </c>
      <c r="AE6" s="230">
        <f t="shared" si="2"/>
        <v>7.6047205989429711</v>
      </c>
      <c r="AF6" s="230">
        <f t="shared" si="2"/>
        <v>7.7695763240344142</v>
      </c>
      <c r="AG6" s="230">
        <f t="shared" si="2"/>
        <v>7.9398609987164273</v>
      </c>
      <c r="AH6" s="230">
        <f t="shared" si="2"/>
        <v>8.1153124497460052</v>
      </c>
      <c r="AI6" s="230">
        <f t="shared" si="2"/>
        <v>8.2929686938937266</v>
      </c>
      <c r="AJ6" s="230">
        <f t="shared" si="2"/>
        <v>8.4743084761135705</v>
      </c>
      <c r="AK6" s="230">
        <f t="shared" si="2"/>
        <v>8.6601081444052994</v>
      </c>
      <c r="AL6" s="230">
        <f t="shared" si="2"/>
        <v>8.8505409037752969</v>
      </c>
      <c r="AM6" s="230">
        <f t="shared" ref="AM6:AW17" si="3">INDEX($P$6:$P$413,MATCH(_xlfn.CONCAT($S6,"-",AM$5),$E$6:$E$413,0))</f>
        <v>9.0448622706454742</v>
      </c>
      <c r="AN6" s="230">
        <f t="shared" si="3"/>
        <v>9.244080057879609</v>
      </c>
      <c r="AO6" s="230">
        <f t="shared" si="3"/>
        <v>9.4481747175645889</v>
      </c>
      <c r="AP6" s="230">
        <f t="shared" si="3"/>
        <v>9.6576553847587192</v>
      </c>
      <c r="AQ6" s="230">
        <f t="shared" si="3"/>
        <v>9.871643358989509</v>
      </c>
      <c r="AR6" s="230">
        <f t="shared" si="3"/>
        <v>10.089964533407306</v>
      </c>
      <c r="AS6" s="230">
        <f t="shared" si="3"/>
        <v>10.291343325619673</v>
      </c>
      <c r="AT6" s="230">
        <f t="shared" si="3"/>
        <v>10.505010879650797</v>
      </c>
      <c r="AU6" s="230">
        <f t="shared" si="3"/>
        <v>10.717758101570547</v>
      </c>
      <c r="AV6" s="230">
        <f t="shared" si="3"/>
        <v>10.930327478964935</v>
      </c>
      <c r="AW6" s="230">
        <f t="shared" si="3"/>
        <v>11.14191841930864</v>
      </c>
    </row>
    <row r="7" spans="1:59">
      <c r="B7" s="142">
        <f t="shared" ref="B7:B70" si="4">YEAR(D7)</f>
        <v>2022</v>
      </c>
      <c r="C7" s="19">
        <f t="shared" ref="C7:C70" si="5">MONTH(D7)</f>
        <v>2</v>
      </c>
      <c r="D7" s="143">
        <v>44593</v>
      </c>
      <c r="E7" s="19" t="str">
        <f t="shared" ref="E7:E70" si="6">C7&amp;"-"&amp;B7</f>
        <v>2-2022</v>
      </c>
      <c r="F7" s="91">
        <f>'IEPR Gas Prices Real'!F9*(INDEX('GDP Deflator'!$D$6:$D$91,MATCH('IEPR Gas Prices Nominal'!$B7,'GDP Deflator'!$B$6:$B$91,0)))</f>
        <v>6.9893045661019109</v>
      </c>
      <c r="G7" s="91">
        <f>'IEPR Gas Prices Real'!G9*(INDEX('GDP Deflator'!$D$6:$D$91,MATCH('IEPR Gas Prices Nominal'!$B7,'GDP Deflator'!$B$6:$B$91,0)))</f>
        <v>0.8880808876599291</v>
      </c>
      <c r="H7" s="91">
        <f>'IEPR Gas Prices Real'!H9*(INDEX('GDP Deflator'!$D$6:$D$91,MATCH('IEPR Gas Prices Nominal'!$B7,'GDP Deflator'!$B$6:$B$91,0)))</f>
        <v>7.87738545376184</v>
      </c>
      <c r="I7" s="91">
        <f>'IEPR Gas Prices Real'!I9*(INDEX('GDP Deflator'!$D$6:$D$91,MATCH('IEPR Gas Prices Nominal'!$B7,'GDP Deflator'!$B$6:$B$91,0)))</f>
        <v>7.5222046698182128</v>
      </c>
      <c r="J7" s="91">
        <f>'IEPR Gas Prices Real'!J9*(INDEX('GDP Deflator'!$D$6:$D$91,MATCH('IEPR Gas Prices Nominal'!$B7,'GDP Deflator'!$B$6:$B$91,0)))</f>
        <v>1.4664363155196718</v>
      </c>
      <c r="K7" s="91">
        <f>'IEPR Gas Prices Real'!K9*(INDEX('GDP Deflator'!$D$6:$D$91,MATCH('IEPR Gas Prices Nominal'!$B7,'GDP Deflator'!$B$6:$B$91,0)))</f>
        <v>8.9886409853378844</v>
      </c>
      <c r="L7" s="91">
        <f>'IEPR Gas Prices Real'!L9*(INDEX('GDP Deflator'!$D$6:$D$91,MATCH('IEPR Gas Prices Nominal'!$B7,'GDP Deflator'!$B$6:$B$91,0)))</f>
        <v>7.4957317849449332</v>
      </c>
      <c r="M7" s="91">
        <f>'IEPR Gas Prices Real'!M9*(INDEX('GDP Deflator'!$D$6:$D$91,MATCH('IEPR Gas Prices Nominal'!$B7,'GDP Deflator'!$B$6:$B$91,0)))</f>
        <v>0.69253054374736689</v>
      </c>
      <c r="N7" s="91">
        <f>'IEPR Gas Prices Real'!N9*(INDEX('GDP Deflator'!$D$6:$D$91,MATCH('IEPR Gas Prices Nominal'!$B7,'GDP Deflator'!$B$6:$B$91,0)))</f>
        <v>8.1882623286923</v>
      </c>
      <c r="O7" s="19"/>
      <c r="P7" s="229">
        <f t="shared" si="0"/>
        <v>7.3357470069550184</v>
      </c>
      <c r="Q7" s="229">
        <f t="shared" ref="Q7:Q70" si="7">AVERAGE(H7,K7,N7)</f>
        <v>8.3514295892640078</v>
      </c>
      <c r="R7" s="144"/>
      <c r="S7" s="146">
        <v>2</v>
      </c>
      <c r="T7" s="230">
        <f t="shared" si="1"/>
        <v>5.9412447958552077</v>
      </c>
      <c r="U7" s="230">
        <f t="shared" si="1"/>
        <v>6.0633526126164945</v>
      </c>
      <c r="V7" s="230">
        <f t="shared" si="1"/>
        <v>6.1857897257071714</v>
      </c>
      <c r="W7" s="230">
        <f t="shared" si="1"/>
        <v>6.3112828900442191</v>
      </c>
      <c r="X7" s="230">
        <f t="shared" si="1"/>
        <v>6.4396653249367164</v>
      </c>
      <c r="Y7" s="230">
        <f t="shared" si="1"/>
        <v>6.5700432043634791</v>
      </c>
      <c r="Z7" s="230">
        <f t="shared" si="1"/>
        <v>6.7045896374462375</v>
      </c>
      <c r="AA7" s="230">
        <f t="shared" si="1"/>
        <v>6.8445268445561744</v>
      </c>
      <c r="AB7" s="230">
        <f t="shared" si="1"/>
        <v>6.9872421996137462</v>
      </c>
      <c r="AC7" s="230">
        <f t="shared" si="2"/>
        <v>7.1358832124457292</v>
      </c>
      <c r="AD7" s="230">
        <f t="shared" si="2"/>
        <v>7.2841460441793942</v>
      </c>
      <c r="AE7" s="230">
        <f t="shared" si="2"/>
        <v>7.4378328421840081</v>
      </c>
      <c r="AF7" s="230">
        <f t="shared" si="2"/>
        <v>7.5991106672489117</v>
      </c>
      <c r="AG7" s="230">
        <f t="shared" si="2"/>
        <v>7.7657010388185954</v>
      </c>
      <c r="AH7" s="230">
        <f t="shared" si="2"/>
        <v>7.937141393394735</v>
      </c>
      <c r="AI7" s="230">
        <f t="shared" si="2"/>
        <v>8.110944761333382</v>
      </c>
      <c r="AJ7" s="230">
        <f t="shared" si="2"/>
        <v>8.2883210999807755</v>
      </c>
      <c r="AK7" s="230">
        <f t="shared" si="2"/>
        <v>8.4700719911199709</v>
      </c>
      <c r="AL7" s="230">
        <f t="shared" si="2"/>
        <v>8.6563347639768828</v>
      </c>
      <c r="AM7" s="230">
        <f t="shared" si="3"/>
        <v>8.846427714814677</v>
      </c>
      <c r="AN7" s="230">
        <f t="shared" si="3"/>
        <v>9.0412809046382705</v>
      </c>
      <c r="AO7" s="230">
        <f t="shared" si="3"/>
        <v>9.2409374832213107</v>
      </c>
      <c r="AP7" s="230">
        <f t="shared" si="3"/>
        <v>9.4458424849282405</v>
      </c>
      <c r="AQ7" s="230">
        <f t="shared" si="3"/>
        <v>9.6551671017562217</v>
      </c>
      <c r="AR7" s="230">
        <f t="shared" si="3"/>
        <v>9.8687120690261327</v>
      </c>
      <c r="AS7" s="230">
        <f t="shared" si="3"/>
        <v>10.065713011185197</v>
      </c>
      <c r="AT7" s="230">
        <f t="shared" si="3"/>
        <v>10.274689183423503</v>
      </c>
      <c r="AU7" s="230">
        <f t="shared" si="3"/>
        <v>10.482893848099055</v>
      </c>
      <c r="AV7" s="230">
        <f t="shared" si="3"/>
        <v>10.690843320410048</v>
      </c>
      <c r="AW7" s="230">
        <f t="shared" si="3"/>
        <v>10.897792468652392</v>
      </c>
    </row>
    <row r="8" spans="1:59">
      <c r="B8" s="142">
        <f t="shared" si="4"/>
        <v>2022</v>
      </c>
      <c r="C8" s="19">
        <f t="shared" si="5"/>
        <v>3</v>
      </c>
      <c r="D8" s="143">
        <v>44621</v>
      </c>
      <c r="E8" s="19" t="str">
        <f t="shared" si="6"/>
        <v>3-2022</v>
      </c>
      <c r="F8" s="91">
        <f>'IEPR Gas Prices Real'!F10*(INDEX('GDP Deflator'!$D$6:$D$91,MATCH('IEPR Gas Prices Nominal'!$B8,'GDP Deflator'!$B$6:$B$91,0)))</f>
        <v>6.4164671135239679</v>
      </c>
      <c r="G8" s="91">
        <f>'IEPR Gas Prices Real'!G10*(INDEX('GDP Deflator'!$D$6:$D$91,MATCH('IEPR Gas Prices Nominal'!$B8,'GDP Deflator'!$B$6:$B$91,0)))</f>
        <v>0.8880808876599291</v>
      </c>
      <c r="H8" s="91">
        <f>'IEPR Gas Prices Real'!H10*(INDEX('GDP Deflator'!$D$6:$D$91,MATCH('IEPR Gas Prices Nominal'!$B8,'GDP Deflator'!$B$6:$B$91,0)))</f>
        <v>7.304548001183897</v>
      </c>
      <c r="I8" s="91">
        <f>'IEPR Gas Prices Real'!I10*(INDEX('GDP Deflator'!$D$6:$D$91,MATCH('IEPR Gas Prices Nominal'!$B8,'GDP Deflator'!$B$6:$B$91,0)))</f>
        <v>6.9056911783719812</v>
      </c>
      <c r="J8" s="91">
        <f>'IEPR Gas Prices Real'!J10*(INDEX('GDP Deflator'!$D$6:$D$91,MATCH('IEPR Gas Prices Nominal'!$B8,'GDP Deflator'!$B$6:$B$91,0)))</f>
        <v>1.4664363155196718</v>
      </c>
      <c r="K8" s="91">
        <f>'IEPR Gas Prices Real'!K10*(INDEX('GDP Deflator'!$D$6:$D$91,MATCH('IEPR Gas Prices Nominal'!$B8,'GDP Deflator'!$B$6:$B$91,0)))</f>
        <v>8.3721274938916537</v>
      </c>
      <c r="L8" s="91">
        <f>'IEPR Gas Prices Real'!L10*(INDEX('GDP Deflator'!$D$6:$D$91,MATCH('IEPR Gas Prices Nominal'!$B8,'GDP Deflator'!$B$6:$B$91,0)))</f>
        <v>6.881387988607818</v>
      </c>
      <c r="M8" s="91">
        <f>'IEPR Gas Prices Real'!M10*(INDEX('GDP Deflator'!$D$6:$D$91,MATCH('IEPR Gas Prices Nominal'!$B8,'GDP Deflator'!$B$6:$B$91,0)))</f>
        <v>0.69253054374736689</v>
      </c>
      <c r="N8" s="91">
        <f>'IEPR Gas Prices Real'!N10*(INDEX('GDP Deflator'!$D$6:$D$91,MATCH('IEPR Gas Prices Nominal'!$B8,'GDP Deflator'!$B$6:$B$91,0)))</f>
        <v>7.5739185323551848</v>
      </c>
      <c r="O8" s="19"/>
      <c r="P8" s="229">
        <f t="shared" si="0"/>
        <v>6.7345154268345881</v>
      </c>
      <c r="Q8" s="229">
        <f t="shared" si="7"/>
        <v>7.7501980091435785</v>
      </c>
      <c r="R8" s="144"/>
      <c r="S8" s="146">
        <v>3</v>
      </c>
      <c r="T8" s="230">
        <f t="shared" si="1"/>
        <v>5.4538935039613818</v>
      </c>
      <c r="U8" s="230">
        <f t="shared" si="1"/>
        <v>5.5659196289505273</v>
      </c>
      <c r="V8" s="230">
        <f t="shared" si="1"/>
        <v>5.6784419489120976</v>
      </c>
      <c r="W8" s="230">
        <f t="shared" si="1"/>
        <v>5.7937098130430611</v>
      </c>
      <c r="X8" s="230">
        <f t="shared" si="1"/>
        <v>5.911497935913796</v>
      </c>
      <c r="Y8" s="230">
        <f t="shared" si="1"/>
        <v>6.0311708697115485</v>
      </c>
      <c r="Z8" s="230">
        <f t="shared" si="1"/>
        <v>6.154807674421785</v>
      </c>
      <c r="AA8" s="230">
        <f t="shared" si="1"/>
        <v>6.2830598724282245</v>
      </c>
      <c r="AB8" s="230">
        <f t="shared" si="1"/>
        <v>6.4143303942777647</v>
      </c>
      <c r="AC8" s="230">
        <f t="shared" si="2"/>
        <v>6.5503275431599901</v>
      </c>
      <c r="AD8" s="230">
        <f t="shared" si="2"/>
        <v>6.6864795782183721</v>
      </c>
      <c r="AE8" s="230">
        <f t="shared" si="2"/>
        <v>6.8278086050875926</v>
      </c>
      <c r="AF8" s="230">
        <f t="shared" si="2"/>
        <v>6.9758956417282745</v>
      </c>
      <c r="AG8" s="230">
        <f t="shared" si="2"/>
        <v>7.1288620215722434</v>
      </c>
      <c r="AH8" s="230">
        <f t="shared" si="2"/>
        <v>7.2860938587530812</v>
      </c>
      <c r="AI8" s="230">
        <f t="shared" si="2"/>
        <v>7.4456845871681923</v>
      </c>
      <c r="AJ8" s="230">
        <f t="shared" si="2"/>
        <v>7.6085279480735375</v>
      </c>
      <c r="AK8" s="230">
        <f t="shared" si="2"/>
        <v>7.775398589292803</v>
      </c>
      <c r="AL8" s="230">
        <f t="shared" si="2"/>
        <v>7.9463931290393566</v>
      </c>
      <c r="AM8" s="230">
        <f t="shared" si="3"/>
        <v>8.1209284127137167</v>
      </c>
      <c r="AN8" s="230">
        <f t="shared" si="3"/>
        <v>8.2998071425731492</v>
      </c>
      <c r="AO8" s="230">
        <f t="shared" si="3"/>
        <v>8.4831260981794916</v>
      </c>
      <c r="AP8" s="230">
        <f t="shared" si="3"/>
        <v>8.6712452210722191</v>
      </c>
      <c r="AQ8" s="230">
        <f t="shared" si="3"/>
        <v>8.8634317812843673</v>
      </c>
      <c r="AR8" s="230">
        <f t="shared" si="3"/>
        <v>9.0594762518605059</v>
      </c>
      <c r="AS8" s="230">
        <f t="shared" si="3"/>
        <v>9.2403579556890403</v>
      </c>
      <c r="AT8" s="230">
        <f t="shared" si="3"/>
        <v>9.4321924645396908</v>
      </c>
      <c r="AU8" s="230">
        <f t="shared" si="3"/>
        <v>9.6234368348502866</v>
      </c>
      <c r="AV8" s="230">
        <f t="shared" si="3"/>
        <v>9.8143723466521422</v>
      </c>
      <c r="AW8" s="230">
        <f t="shared" si="3"/>
        <v>10.004349769454585</v>
      </c>
    </row>
    <row r="9" spans="1:59">
      <c r="B9" s="142">
        <f t="shared" si="4"/>
        <v>2022</v>
      </c>
      <c r="C9" s="19">
        <f t="shared" si="5"/>
        <v>4</v>
      </c>
      <c r="D9" s="143">
        <v>44652</v>
      </c>
      <c r="E9" s="19" t="str">
        <f t="shared" si="6"/>
        <v>4-2022</v>
      </c>
      <c r="F9" s="91">
        <f>'IEPR Gas Prices Real'!F11*(INDEX('GDP Deflator'!$D$6:$D$91,MATCH('IEPR Gas Prices Nominal'!$B9,'GDP Deflator'!$B$6:$B$91,0)))</f>
        <v>6.3075503701799951</v>
      </c>
      <c r="G9" s="91">
        <f>'IEPR Gas Prices Real'!G11*(INDEX('GDP Deflator'!$D$6:$D$91,MATCH('IEPR Gas Prices Nominal'!$B9,'GDP Deflator'!$B$6:$B$91,0)))</f>
        <v>0.8880808876599291</v>
      </c>
      <c r="H9" s="91">
        <f>'IEPR Gas Prices Real'!H11*(INDEX('GDP Deflator'!$D$6:$D$91,MATCH('IEPR Gas Prices Nominal'!$B9,'GDP Deflator'!$B$6:$B$91,0)))</f>
        <v>7.1956312578399242</v>
      </c>
      <c r="I9" s="91">
        <f>'IEPR Gas Prices Real'!I11*(INDEX('GDP Deflator'!$D$6:$D$91,MATCH('IEPR Gas Prices Nominal'!$B9,'GDP Deflator'!$B$6:$B$91,0)))</f>
        <v>6.7884700689390067</v>
      </c>
      <c r="J9" s="91">
        <f>'IEPR Gas Prices Real'!J11*(INDEX('GDP Deflator'!$D$6:$D$91,MATCH('IEPR Gas Prices Nominal'!$B9,'GDP Deflator'!$B$6:$B$91,0)))</f>
        <v>1.4664363155196718</v>
      </c>
      <c r="K9" s="91">
        <f>'IEPR Gas Prices Real'!K11*(INDEX('GDP Deflator'!$D$6:$D$91,MATCH('IEPR Gas Prices Nominal'!$B9,'GDP Deflator'!$B$6:$B$91,0)))</f>
        <v>8.2549063844586783</v>
      </c>
      <c r="L9" s="91">
        <f>'IEPR Gas Prices Real'!L11*(INDEX('GDP Deflator'!$D$6:$D$91,MATCH('IEPR Gas Prices Nominal'!$B9,'GDP Deflator'!$B$6:$B$91,0)))</f>
        <v>6.7645794152691066</v>
      </c>
      <c r="M9" s="91">
        <f>'IEPR Gas Prices Real'!M11*(INDEX('GDP Deflator'!$D$6:$D$91,MATCH('IEPR Gas Prices Nominal'!$B9,'GDP Deflator'!$B$6:$B$91,0)))</f>
        <v>0.69253054374736689</v>
      </c>
      <c r="N9" s="91">
        <f>'IEPR Gas Prices Real'!N11*(INDEX('GDP Deflator'!$D$6:$D$91,MATCH('IEPR Gas Prices Nominal'!$B9,'GDP Deflator'!$B$6:$B$91,0)))</f>
        <v>7.4571099590164733</v>
      </c>
      <c r="O9" s="19"/>
      <c r="P9" s="229">
        <f t="shared" si="0"/>
        <v>6.6201999514627028</v>
      </c>
      <c r="Q9" s="229">
        <f t="shared" si="7"/>
        <v>7.6358825337716922</v>
      </c>
      <c r="R9" s="144"/>
      <c r="S9" s="146">
        <v>4</v>
      </c>
      <c r="T9" s="230">
        <f t="shared" si="1"/>
        <v>5.3609110960499597</v>
      </c>
      <c r="U9" s="230">
        <f t="shared" si="1"/>
        <v>5.4709630405380132</v>
      </c>
      <c r="V9" s="230">
        <f t="shared" si="1"/>
        <v>5.5816933536381912</v>
      </c>
      <c r="W9" s="230">
        <f t="shared" si="1"/>
        <v>5.6950635898495063</v>
      </c>
      <c r="X9" s="230">
        <f t="shared" si="1"/>
        <v>5.8107813390438645</v>
      </c>
      <c r="Y9" s="230">
        <f t="shared" si="1"/>
        <v>5.9284039184994404</v>
      </c>
      <c r="Z9" s="230">
        <f t="shared" si="1"/>
        <v>6.0500577272669007</v>
      </c>
      <c r="AA9" s="230">
        <f t="shared" si="1"/>
        <v>6.1759206895460688</v>
      </c>
      <c r="AB9" s="230">
        <f t="shared" si="1"/>
        <v>6.305210669568738</v>
      </c>
      <c r="AC9" s="230">
        <f t="shared" si="2"/>
        <v>6.438445784434581</v>
      </c>
      <c r="AD9" s="230">
        <f t="shared" si="2"/>
        <v>6.5723267057725065</v>
      </c>
      <c r="AE9" s="230">
        <f t="shared" si="2"/>
        <v>6.7114909572799677</v>
      </c>
      <c r="AF9" s="230">
        <f t="shared" si="2"/>
        <v>6.8570912204151808</v>
      </c>
      <c r="AG9" s="230">
        <f t="shared" si="2"/>
        <v>7.0074901730209271</v>
      </c>
      <c r="AH9" s="230">
        <f t="shared" si="2"/>
        <v>7.1618983281577044</v>
      </c>
      <c r="AI9" s="230">
        <f t="shared" si="2"/>
        <v>7.3188116643072831</v>
      </c>
      <c r="AJ9" s="230">
        <f t="shared" si="2"/>
        <v>7.4788953871525008</v>
      </c>
      <c r="AK9" s="230">
        <f t="shared" si="2"/>
        <v>7.6429491002226833</v>
      </c>
      <c r="AL9" s="230">
        <f t="shared" si="2"/>
        <v>7.8110388260493409</v>
      </c>
      <c r="AM9" s="230">
        <f t="shared" si="3"/>
        <v>7.9826332616802249</v>
      </c>
      <c r="AN9" s="230">
        <f t="shared" si="3"/>
        <v>8.1584712200499698</v>
      </c>
      <c r="AO9" s="230">
        <f t="shared" si="3"/>
        <v>8.3387040338630385</v>
      </c>
      <c r="AP9" s="230">
        <f t="shared" si="3"/>
        <v>8.5236377418928893</v>
      </c>
      <c r="AQ9" s="230">
        <f t="shared" si="3"/>
        <v>8.7125797237552014</v>
      </c>
      <c r="AR9" s="230">
        <f t="shared" si="3"/>
        <v>8.9052978667027549</v>
      </c>
      <c r="AS9" s="230">
        <f t="shared" si="3"/>
        <v>9.0831355185667331</v>
      </c>
      <c r="AT9" s="230">
        <f t="shared" si="3"/>
        <v>9.2716998059795817</v>
      </c>
      <c r="AU9" s="230">
        <f t="shared" si="3"/>
        <v>9.4598001037945583</v>
      </c>
      <c r="AV9" s="230">
        <f t="shared" si="3"/>
        <v>9.6475234703351944</v>
      </c>
      <c r="AW9" s="230">
        <f t="shared" si="3"/>
        <v>9.8342659351311497</v>
      </c>
    </row>
    <row r="10" spans="1:59">
      <c r="B10" s="142">
        <f t="shared" si="4"/>
        <v>2022</v>
      </c>
      <c r="C10" s="19">
        <f t="shared" si="5"/>
        <v>5</v>
      </c>
      <c r="D10" s="143">
        <v>44682</v>
      </c>
      <c r="E10" s="19" t="str">
        <f t="shared" si="6"/>
        <v>5-2022</v>
      </c>
      <c r="F10" s="91">
        <f>'IEPR Gas Prices Real'!F12*(INDEX('GDP Deflator'!$D$6:$D$91,MATCH('IEPR Gas Prices Nominal'!$B10,'GDP Deflator'!$B$6:$B$91,0)))</f>
        <v>6.527343227031249</v>
      </c>
      <c r="G10" s="91">
        <f>'IEPR Gas Prices Real'!G12*(INDEX('GDP Deflator'!$D$6:$D$91,MATCH('IEPR Gas Prices Nominal'!$B10,'GDP Deflator'!$B$6:$B$91,0)))</f>
        <v>0.8880808876599291</v>
      </c>
      <c r="H10" s="91">
        <f>'IEPR Gas Prices Real'!H12*(INDEX('GDP Deflator'!$D$6:$D$91,MATCH('IEPR Gas Prices Nominal'!$B10,'GDP Deflator'!$B$6:$B$91,0)))</f>
        <v>7.4154241146911781</v>
      </c>
      <c r="I10" s="91">
        <f>'IEPR Gas Prices Real'!I12*(INDEX('GDP Deflator'!$D$6:$D$91,MATCH('IEPR Gas Prices Nominal'!$B10,'GDP Deflator'!$B$6:$B$91,0)))</f>
        <v>7.0250210503081414</v>
      </c>
      <c r="J10" s="91">
        <f>'IEPR Gas Prices Real'!J12*(INDEX('GDP Deflator'!$D$6:$D$91,MATCH('IEPR Gas Prices Nominal'!$B10,'GDP Deflator'!$B$6:$B$91,0)))</f>
        <v>1.4664363155196718</v>
      </c>
      <c r="K10" s="91">
        <f>'IEPR Gas Prices Real'!K12*(INDEX('GDP Deflator'!$D$6:$D$91,MATCH('IEPR Gas Prices Nominal'!$B10,'GDP Deflator'!$B$6:$B$91,0)))</f>
        <v>8.491457365827813</v>
      </c>
      <c r="L10" s="91">
        <f>'IEPR Gas Prices Real'!L12*(INDEX('GDP Deflator'!$D$6:$D$91,MATCH('IEPR Gas Prices Nominal'!$B10,'GDP Deflator'!$B$6:$B$91,0)))</f>
        <v>7.0002979030846468</v>
      </c>
      <c r="M10" s="91">
        <f>'IEPR Gas Prices Real'!M12*(INDEX('GDP Deflator'!$D$6:$D$91,MATCH('IEPR Gas Prices Nominal'!$B10,'GDP Deflator'!$B$6:$B$91,0)))</f>
        <v>0.69253054374736689</v>
      </c>
      <c r="N10" s="91">
        <f>'IEPR Gas Prices Real'!N12*(INDEX('GDP Deflator'!$D$6:$D$91,MATCH('IEPR Gas Prices Nominal'!$B10,'GDP Deflator'!$B$6:$B$91,0)))</f>
        <v>7.6928284468320136</v>
      </c>
      <c r="O10" s="19"/>
      <c r="P10" s="229">
        <f t="shared" si="0"/>
        <v>6.8508873934746788</v>
      </c>
      <c r="Q10" s="229">
        <f t="shared" si="7"/>
        <v>7.8665699757836682</v>
      </c>
      <c r="R10" s="144"/>
      <c r="S10" s="146">
        <v>5</v>
      </c>
      <c r="T10" s="230">
        <f t="shared" si="1"/>
        <v>5.5472983232864763</v>
      </c>
      <c r="U10" s="230">
        <f t="shared" si="1"/>
        <v>5.6611100220870982</v>
      </c>
      <c r="V10" s="230">
        <f t="shared" si="1"/>
        <v>5.7758209657803041</v>
      </c>
      <c r="W10" s="230">
        <f t="shared" si="1"/>
        <v>5.8932027501958233</v>
      </c>
      <c r="X10" s="230">
        <f t="shared" si="1"/>
        <v>6.0128793547813091</v>
      </c>
      <c r="Y10" s="230">
        <f t="shared" si="1"/>
        <v>6.1345809909624949</v>
      </c>
      <c r="Z10" s="230">
        <f t="shared" si="1"/>
        <v>6.2605936638141131</v>
      </c>
      <c r="AA10" s="230">
        <f t="shared" si="1"/>
        <v>6.3906228409806749</v>
      </c>
      <c r="AB10" s="230">
        <f t="shared" si="1"/>
        <v>6.5246744090347448</v>
      </c>
      <c r="AC10" s="230">
        <f t="shared" si="2"/>
        <v>6.66208288823342</v>
      </c>
      <c r="AD10" s="230">
        <f t="shared" si="2"/>
        <v>6.8006704253133377</v>
      </c>
      <c r="AE10" s="230">
        <f t="shared" si="2"/>
        <v>6.9449263786301181</v>
      </c>
      <c r="AF10" s="230">
        <f t="shared" si="2"/>
        <v>7.0956281059175241</v>
      </c>
      <c r="AG10" s="230">
        <f t="shared" si="2"/>
        <v>7.2512979844260244</v>
      </c>
      <c r="AH10" s="230">
        <f t="shared" si="2"/>
        <v>7.4109265131359292</v>
      </c>
      <c r="AI10" s="230">
        <f t="shared" si="2"/>
        <v>7.5733403421984491</v>
      </c>
      <c r="AJ10" s="230">
        <f t="shared" si="2"/>
        <v>7.7390070574407348</v>
      </c>
      <c r="AK10" s="230">
        <f t="shared" si="2"/>
        <v>7.9087935581944437</v>
      </c>
      <c r="AL10" s="230">
        <f t="shared" si="2"/>
        <v>8.0827382029944541</v>
      </c>
      <c r="AM10" s="230">
        <f t="shared" si="3"/>
        <v>8.260334589849359</v>
      </c>
      <c r="AN10" s="230">
        <f t="shared" si="3"/>
        <v>8.4422952610718642</v>
      </c>
      <c r="AO10" s="230">
        <f t="shared" si="3"/>
        <v>8.6288349768415937</v>
      </c>
      <c r="AP10" s="230">
        <f t="shared" si="3"/>
        <v>8.8202209818507651</v>
      </c>
      <c r="AQ10" s="230">
        <f t="shared" si="3"/>
        <v>9.0157651567311863</v>
      </c>
      <c r="AR10" s="230">
        <f t="shared" si="3"/>
        <v>9.215200247156945</v>
      </c>
      <c r="AS10" s="230">
        <f t="shared" si="3"/>
        <v>9.3992620827569322</v>
      </c>
      <c r="AT10" s="230">
        <f t="shared" si="3"/>
        <v>9.5943826812470316</v>
      </c>
      <c r="AU10" s="230">
        <f t="shared" si="3"/>
        <v>9.7891433002784236</v>
      </c>
      <c r="AV10" s="230">
        <f t="shared" si="3"/>
        <v>9.9834379832346247</v>
      </c>
      <c r="AW10" s="230">
        <f t="shared" si="3"/>
        <v>10.176677146422449</v>
      </c>
    </row>
    <row r="11" spans="1:59">
      <c r="B11" s="142">
        <f t="shared" si="4"/>
        <v>2022</v>
      </c>
      <c r="C11" s="19">
        <f t="shared" si="5"/>
        <v>6</v>
      </c>
      <c r="D11" s="143">
        <v>44713</v>
      </c>
      <c r="E11" s="19" t="str">
        <f t="shared" si="6"/>
        <v>6-2022</v>
      </c>
      <c r="F11" s="91">
        <f>'IEPR Gas Prices Real'!F13*(INDEX('GDP Deflator'!$D$6:$D$91,MATCH('IEPR Gas Prices Nominal'!$B11,'GDP Deflator'!$B$6:$B$91,0)))</f>
        <v>5.8933446920913095</v>
      </c>
      <c r="G11" s="91">
        <f>'IEPR Gas Prices Real'!G13*(INDEX('GDP Deflator'!$D$6:$D$91,MATCH('IEPR Gas Prices Nominal'!$B11,'GDP Deflator'!$B$6:$B$91,0)))</f>
        <v>0.8880808876599291</v>
      </c>
      <c r="H11" s="91">
        <f>'IEPR Gas Prices Real'!H13*(INDEX('GDP Deflator'!$D$6:$D$91,MATCH('IEPR Gas Prices Nominal'!$B11,'GDP Deflator'!$B$6:$B$91,0)))</f>
        <v>6.7814255797512386</v>
      </c>
      <c r="I11" s="91">
        <f>'IEPR Gas Prices Real'!I13*(INDEX('GDP Deflator'!$D$6:$D$91,MATCH('IEPR Gas Prices Nominal'!$B11,'GDP Deflator'!$B$6:$B$91,0)))</f>
        <v>6.2825875972566312</v>
      </c>
      <c r="J11" s="91">
        <f>'IEPR Gas Prices Real'!J13*(INDEX('GDP Deflator'!$D$6:$D$91,MATCH('IEPR Gas Prices Nominal'!$B11,'GDP Deflator'!$B$6:$B$91,0)))</f>
        <v>1.4664363155196718</v>
      </c>
      <c r="K11" s="91">
        <f>'IEPR Gas Prices Real'!K13*(INDEX('GDP Deflator'!$D$6:$D$91,MATCH('IEPR Gas Prices Nominal'!$B11,'GDP Deflator'!$B$6:$B$91,0)))</f>
        <v>7.7490239127763028</v>
      </c>
      <c r="L11" s="91">
        <f>'IEPR Gas Prices Real'!L13*(INDEX('GDP Deflator'!$D$6:$D$91,MATCH('IEPR Gas Prices Nominal'!$B11,'GDP Deflator'!$B$6:$B$91,0)))</f>
        <v>6.3617699834319925</v>
      </c>
      <c r="M11" s="91">
        <f>'IEPR Gas Prices Real'!M13*(INDEX('GDP Deflator'!$D$6:$D$91,MATCH('IEPR Gas Prices Nominal'!$B11,'GDP Deflator'!$B$6:$B$91,0)))</f>
        <v>0.69253054374736689</v>
      </c>
      <c r="N11" s="91">
        <f>'IEPR Gas Prices Real'!N13*(INDEX('GDP Deflator'!$D$6:$D$91,MATCH('IEPR Gas Prices Nominal'!$B11,'GDP Deflator'!$B$6:$B$91,0)))</f>
        <v>7.0543005271793593</v>
      </c>
      <c r="O11" s="19"/>
      <c r="P11" s="229">
        <f t="shared" si="0"/>
        <v>6.1792340909266441</v>
      </c>
      <c r="Q11" s="229">
        <f t="shared" si="7"/>
        <v>7.1949166732356344</v>
      </c>
      <c r="R11" s="144"/>
      <c r="S11" s="146">
        <v>6</v>
      </c>
      <c r="T11" s="230">
        <f t="shared" si="1"/>
        <v>5.6905150070588943</v>
      </c>
      <c r="U11" s="230">
        <f t="shared" si="1"/>
        <v>5.807196785125889</v>
      </c>
      <c r="V11" s="230">
        <f t="shared" si="1"/>
        <v>5.9250034392180213</v>
      </c>
      <c r="W11" s="230">
        <f t="shared" si="1"/>
        <v>6.045487440498218</v>
      </c>
      <c r="X11" s="230">
        <f t="shared" si="1"/>
        <v>6.168187709077146</v>
      </c>
      <c r="Y11" s="230">
        <f t="shared" si="1"/>
        <v>6.2930206666254422</v>
      </c>
      <c r="Z11" s="230">
        <f t="shared" si="1"/>
        <v>6.4224192378220151</v>
      </c>
      <c r="AA11" s="230">
        <f t="shared" si="1"/>
        <v>6.5555902121843275</v>
      </c>
      <c r="AB11" s="230">
        <f t="shared" si="1"/>
        <v>6.6933760168393741</v>
      </c>
      <c r="AC11" s="230">
        <f t="shared" si="2"/>
        <v>6.8338611717817734</v>
      </c>
      <c r="AD11" s="230">
        <f t="shared" si="2"/>
        <v>6.9760798895440326</v>
      </c>
      <c r="AE11" s="230">
        <f t="shared" si="2"/>
        <v>7.1243199940690749</v>
      </c>
      <c r="AF11" s="230">
        <f t="shared" si="2"/>
        <v>7.2789527235531972</v>
      </c>
      <c r="AG11" s="230">
        <f t="shared" si="2"/>
        <v>7.4386845587242538</v>
      </c>
      <c r="AH11" s="230">
        <f t="shared" si="2"/>
        <v>7.6022823691827268</v>
      </c>
      <c r="AI11" s="230">
        <f t="shared" si="2"/>
        <v>7.7689354219568658</v>
      </c>
      <c r="AJ11" s="230">
        <f t="shared" si="2"/>
        <v>7.9388968937629842</v>
      </c>
      <c r="AK11" s="230">
        <f t="shared" si="2"/>
        <v>8.1130965861109203</v>
      </c>
      <c r="AL11" s="230">
        <f t="shared" si="2"/>
        <v>8.2915431102776722</v>
      </c>
      <c r="AM11" s="230">
        <f t="shared" si="3"/>
        <v>8.4737614900161713</v>
      </c>
      <c r="AN11" s="230">
        <f t="shared" si="3"/>
        <v>8.6604293566092529</v>
      </c>
      <c r="AO11" s="230">
        <f t="shared" si="3"/>
        <v>8.8518266914545638</v>
      </c>
      <c r="AP11" s="230">
        <f t="shared" si="3"/>
        <v>9.0481769204886167</v>
      </c>
      <c r="AQ11" s="230">
        <f t="shared" si="3"/>
        <v>9.2488034831688299</v>
      </c>
      <c r="AR11" s="230">
        <f t="shared" si="3"/>
        <v>9.4534044507294848</v>
      </c>
      <c r="AS11" s="230">
        <f t="shared" si="3"/>
        <v>9.6422605038467353</v>
      </c>
      <c r="AT11" s="230">
        <f t="shared" si="3"/>
        <v>9.8424189535766402</v>
      </c>
      <c r="AU11" s="230">
        <f t="shared" si="3"/>
        <v>10.042331392545549</v>
      </c>
      <c r="AV11" s="230">
        <f t="shared" si="3"/>
        <v>10.24168799517752</v>
      </c>
      <c r="AW11" s="230">
        <f t="shared" si="3"/>
        <v>10.439920260839193</v>
      </c>
    </row>
    <row r="12" spans="1:59">
      <c r="B12" s="142">
        <f t="shared" si="4"/>
        <v>2022</v>
      </c>
      <c r="C12" s="19">
        <f t="shared" si="5"/>
        <v>7</v>
      </c>
      <c r="D12" s="143">
        <v>44743</v>
      </c>
      <c r="E12" s="19" t="str">
        <f t="shared" si="6"/>
        <v>7-2022</v>
      </c>
      <c r="F12" s="91">
        <f>'IEPR Gas Prices Real'!F14*(INDEX('GDP Deflator'!$D$6:$D$91,MATCH('IEPR Gas Prices Nominal'!$B12,'GDP Deflator'!$B$6:$B$91,0)))</f>
        <v>5.8054427213239075</v>
      </c>
      <c r="G12" s="91">
        <f>'IEPR Gas Prices Real'!G14*(INDEX('GDP Deflator'!$D$6:$D$91,MATCH('IEPR Gas Prices Nominal'!$B12,'GDP Deflator'!$B$6:$B$91,0)))</f>
        <v>0.8880808876599291</v>
      </c>
      <c r="H12" s="91">
        <f>'IEPR Gas Prices Real'!H14*(INDEX('GDP Deflator'!$D$6:$D$91,MATCH('IEPR Gas Prices Nominal'!$B12,'GDP Deflator'!$B$6:$B$91,0)))</f>
        <v>6.6935236089838366</v>
      </c>
      <c r="I12" s="91">
        <f>'IEPR Gas Prices Real'!I14*(INDEX('GDP Deflator'!$D$6:$D$91,MATCH('IEPR Gas Prices Nominal'!$B12,'GDP Deflator'!$B$6:$B$91,0)))</f>
        <v>6.1774084137709648</v>
      </c>
      <c r="J12" s="91">
        <f>'IEPR Gas Prices Real'!J14*(INDEX('GDP Deflator'!$D$6:$D$91,MATCH('IEPR Gas Prices Nominal'!$B12,'GDP Deflator'!$B$6:$B$91,0)))</f>
        <v>1.4664363155196718</v>
      </c>
      <c r="K12" s="91">
        <f>'IEPR Gas Prices Real'!K14*(INDEX('GDP Deflator'!$D$6:$D$91,MATCH('IEPR Gas Prices Nominal'!$B12,'GDP Deflator'!$B$6:$B$91,0)))</f>
        <v>7.6438447292906364</v>
      </c>
      <c r="L12" s="91">
        <f>'IEPR Gas Prices Real'!L14*(INDEX('GDP Deflator'!$D$6:$D$91,MATCH('IEPR Gas Prices Nominal'!$B12,'GDP Deflator'!$B$6:$B$91,0)))</f>
        <v>6.2747855806349273</v>
      </c>
      <c r="M12" s="91">
        <f>'IEPR Gas Prices Real'!M14*(INDEX('GDP Deflator'!$D$6:$D$91,MATCH('IEPR Gas Prices Nominal'!$B12,'GDP Deflator'!$B$6:$B$91,0)))</f>
        <v>0.69253054374736689</v>
      </c>
      <c r="N12" s="91">
        <f>'IEPR Gas Prices Real'!N14*(INDEX('GDP Deflator'!$D$6:$D$91,MATCH('IEPR Gas Prices Nominal'!$B12,'GDP Deflator'!$B$6:$B$91,0)))</f>
        <v>6.9673161243822941</v>
      </c>
      <c r="O12" s="19"/>
      <c r="P12" s="229">
        <f t="shared" si="0"/>
        <v>6.0858789052432662</v>
      </c>
      <c r="Q12" s="229">
        <f t="shared" si="7"/>
        <v>7.1015614875522557</v>
      </c>
      <c r="R12" s="144"/>
      <c r="S12" s="146">
        <v>7</v>
      </c>
      <c r="T12" s="230">
        <f t="shared" si="1"/>
        <v>5.7354666681417532</v>
      </c>
      <c r="U12" s="230">
        <f t="shared" si="1"/>
        <v>5.8530013728411028</v>
      </c>
      <c r="V12" s="230">
        <f t="shared" si="1"/>
        <v>5.971873884186496</v>
      </c>
      <c r="W12" s="230">
        <f t="shared" si="1"/>
        <v>6.0933819417180155</v>
      </c>
      <c r="X12" s="230">
        <f t="shared" si="1"/>
        <v>6.2169848651107964</v>
      </c>
      <c r="Y12" s="230">
        <f t="shared" si="1"/>
        <v>6.342793146685163</v>
      </c>
      <c r="Z12" s="230">
        <f t="shared" si="1"/>
        <v>6.4733475384728756</v>
      </c>
      <c r="AA12" s="230">
        <f t="shared" si="1"/>
        <v>6.6073535360487563</v>
      </c>
      <c r="AB12" s="230">
        <f t="shared" si="1"/>
        <v>6.7465033441365145</v>
      </c>
      <c r="AC12" s="230">
        <f t="shared" si="2"/>
        <v>6.8876236059747251</v>
      </c>
      <c r="AD12" s="230">
        <f t="shared" si="2"/>
        <v>7.0310194091107769</v>
      </c>
      <c r="AE12" s="230">
        <f t="shared" si="2"/>
        <v>7.1806924549523012</v>
      </c>
      <c r="AF12" s="230">
        <f t="shared" si="2"/>
        <v>7.3365872938369607</v>
      </c>
      <c r="AG12" s="230">
        <f t="shared" si="2"/>
        <v>7.4976242297881965</v>
      </c>
      <c r="AH12" s="230">
        <f t="shared" si="2"/>
        <v>7.6623612339542682</v>
      </c>
      <c r="AI12" s="230">
        <f t="shared" si="2"/>
        <v>7.8303772423392699</v>
      </c>
      <c r="AJ12" s="230">
        <f t="shared" si="2"/>
        <v>8.0016991270980409</v>
      </c>
      <c r="AK12" s="230">
        <f t="shared" si="2"/>
        <v>8.177304881991974</v>
      </c>
      <c r="AL12" s="230">
        <f t="shared" si="2"/>
        <v>8.3571722012577379</v>
      </c>
      <c r="AM12" s="230">
        <f t="shared" si="3"/>
        <v>8.5408672146333089</v>
      </c>
      <c r="AN12" s="230">
        <f t="shared" si="3"/>
        <v>8.7290191700686908</v>
      </c>
      <c r="AO12" s="230">
        <f t="shared" si="3"/>
        <v>8.9219704178192956</v>
      </c>
      <c r="AP12" s="230">
        <f t="shared" si="3"/>
        <v>9.1198950220719492</v>
      </c>
      <c r="AQ12" s="230">
        <f t="shared" si="3"/>
        <v>9.322140638232721</v>
      </c>
      <c r="AR12" s="230">
        <f t="shared" si="3"/>
        <v>9.5283749542119427</v>
      </c>
      <c r="AS12" s="230">
        <f t="shared" si="3"/>
        <v>9.7187654210309447</v>
      </c>
      <c r="AT12" s="230">
        <f t="shared" si="3"/>
        <v>9.9205053549556066</v>
      </c>
      <c r="AU12" s="230">
        <f t="shared" si="3"/>
        <v>10.122121589675935</v>
      </c>
      <c r="AV12" s="230">
        <f t="shared" si="3"/>
        <v>10.323099099276062</v>
      </c>
      <c r="AW12" s="230">
        <f t="shared" si="3"/>
        <v>10.522901489184838</v>
      </c>
    </row>
    <row r="13" spans="1:59">
      <c r="B13" s="142">
        <f t="shared" si="4"/>
        <v>2022</v>
      </c>
      <c r="C13" s="19">
        <f t="shared" si="5"/>
        <v>8</v>
      </c>
      <c r="D13" s="143">
        <v>44774</v>
      </c>
      <c r="E13" s="19" t="str">
        <f t="shared" si="6"/>
        <v>8-2022</v>
      </c>
      <c r="F13" s="91">
        <f>'IEPR Gas Prices Real'!F15*(INDEX('GDP Deflator'!$D$6:$D$91,MATCH('IEPR Gas Prices Nominal'!$B13,'GDP Deflator'!$B$6:$B$91,0)))</f>
        <v>5.6269735425090337</v>
      </c>
      <c r="G13" s="91">
        <f>'IEPR Gas Prices Real'!G15*(INDEX('GDP Deflator'!$D$6:$D$91,MATCH('IEPR Gas Prices Nominal'!$B13,'GDP Deflator'!$B$6:$B$91,0)))</f>
        <v>0.8880808876599291</v>
      </c>
      <c r="H13" s="91">
        <f>'IEPR Gas Prices Real'!H15*(INDEX('GDP Deflator'!$D$6:$D$91,MATCH('IEPR Gas Prices Nominal'!$B13,'GDP Deflator'!$B$6:$B$91,0)))</f>
        <v>6.5150544301689628</v>
      </c>
      <c r="I13" s="91">
        <f>'IEPR Gas Prices Real'!I15*(INDEX('GDP Deflator'!$D$6:$D$91,MATCH('IEPR Gas Prices Nominal'!$B13,'GDP Deflator'!$B$6:$B$91,0)))</f>
        <v>5.9758565121977352</v>
      </c>
      <c r="J13" s="91">
        <f>'IEPR Gas Prices Real'!J15*(INDEX('GDP Deflator'!$D$6:$D$91,MATCH('IEPR Gas Prices Nominal'!$B13,'GDP Deflator'!$B$6:$B$91,0)))</f>
        <v>1.4664363155196718</v>
      </c>
      <c r="K13" s="91">
        <f>'IEPR Gas Prices Real'!K15*(INDEX('GDP Deflator'!$D$6:$D$91,MATCH('IEPR Gas Prices Nominal'!$B13,'GDP Deflator'!$B$6:$B$91,0)))</f>
        <v>7.4422928277174067</v>
      </c>
      <c r="L13" s="91">
        <f>'IEPR Gas Prices Real'!L15*(INDEX('GDP Deflator'!$D$6:$D$91,MATCH('IEPR Gas Prices Nominal'!$B13,'GDP Deflator'!$B$6:$B$91,0)))</f>
        <v>6.0899138939940274</v>
      </c>
      <c r="M13" s="91">
        <f>'IEPR Gas Prices Real'!M15*(INDEX('GDP Deflator'!$D$6:$D$91,MATCH('IEPR Gas Prices Nominal'!$B13,'GDP Deflator'!$B$6:$B$91,0)))</f>
        <v>0.69253054374736689</v>
      </c>
      <c r="N13" s="91">
        <f>'IEPR Gas Prices Real'!N15*(INDEX('GDP Deflator'!$D$6:$D$91,MATCH('IEPR Gas Prices Nominal'!$B13,'GDP Deflator'!$B$6:$B$91,0)))</f>
        <v>6.7824444377413942</v>
      </c>
      <c r="O13" s="19"/>
      <c r="P13" s="229">
        <f t="shared" si="0"/>
        <v>5.8975813162335982</v>
      </c>
      <c r="Q13" s="229">
        <f t="shared" si="7"/>
        <v>6.9132638985425876</v>
      </c>
      <c r="R13" s="144"/>
      <c r="S13" s="146">
        <v>8</v>
      </c>
      <c r="T13" s="230">
        <f t="shared" si="1"/>
        <v>5.6909733073475843</v>
      </c>
      <c r="U13" s="230">
        <f t="shared" si="1"/>
        <v>5.8075279605580716</v>
      </c>
      <c r="V13" s="230">
        <f t="shared" si="1"/>
        <v>5.9256125347425153</v>
      </c>
      <c r="W13" s="230">
        <f t="shared" si="1"/>
        <v>6.0462497381066704</v>
      </c>
      <c r="X13" s="230">
        <f t="shared" si="1"/>
        <v>6.168827704380436</v>
      </c>
      <c r="Y13" s="230">
        <f t="shared" si="1"/>
        <v>6.2936493181566533</v>
      </c>
      <c r="Z13" s="230">
        <f t="shared" si="1"/>
        <v>6.4233235559728934</v>
      </c>
      <c r="AA13" s="230">
        <f t="shared" si="1"/>
        <v>6.5560746935709107</v>
      </c>
      <c r="AB13" s="230">
        <f t="shared" si="1"/>
        <v>6.6944185170054942</v>
      </c>
      <c r="AC13" s="230">
        <f t="shared" si="2"/>
        <v>6.8339729958463264</v>
      </c>
      <c r="AD13" s="230">
        <f t="shared" si="2"/>
        <v>6.976309628655609</v>
      </c>
      <c r="AE13" s="230">
        <f t="shared" si="2"/>
        <v>7.1250815139296009</v>
      </c>
      <c r="AF13" s="230">
        <f t="shared" si="2"/>
        <v>7.2798072801411697</v>
      </c>
      <c r="AG13" s="230">
        <f t="shared" si="2"/>
        <v>7.4396379440426195</v>
      </c>
      <c r="AH13" s="230">
        <f t="shared" si="2"/>
        <v>7.602945021099238</v>
      </c>
      <c r="AI13" s="230">
        <f t="shared" si="2"/>
        <v>7.7697037738516839</v>
      </c>
      <c r="AJ13" s="230">
        <f t="shared" si="2"/>
        <v>7.939714298344609</v>
      </c>
      <c r="AK13" s="230">
        <f t="shared" si="2"/>
        <v>8.113987538095488</v>
      </c>
      <c r="AL13" s="230">
        <f t="shared" si="2"/>
        <v>8.2924706110388016</v>
      </c>
      <c r="AM13" s="230">
        <f t="shared" si="3"/>
        <v>8.4747775294465644</v>
      </c>
      <c r="AN13" s="230">
        <f t="shared" si="3"/>
        <v>8.6614793324169792</v>
      </c>
      <c r="AO13" s="230">
        <f t="shared" si="3"/>
        <v>8.8529754139130201</v>
      </c>
      <c r="AP13" s="230">
        <f t="shared" si="3"/>
        <v>9.0493877500767059</v>
      </c>
      <c r="AQ13" s="230">
        <f t="shared" si="3"/>
        <v>9.2500983924187992</v>
      </c>
      <c r="AR13" s="230">
        <f t="shared" si="3"/>
        <v>9.4547498215216432</v>
      </c>
      <c r="AS13" s="230">
        <f t="shared" si="3"/>
        <v>9.6437055585805762</v>
      </c>
      <c r="AT13" s="230">
        <f t="shared" si="3"/>
        <v>9.8438808277668723</v>
      </c>
      <c r="AU13" s="230">
        <f t="shared" si="3"/>
        <v>10.044056666963455</v>
      </c>
      <c r="AV13" s="230">
        <f t="shared" si="3"/>
        <v>10.243520835178844</v>
      </c>
      <c r="AW13" s="230">
        <f t="shared" si="3"/>
        <v>10.441777417428375</v>
      </c>
    </row>
    <row r="14" spans="1:59">
      <c r="B14" s="142">
        <f t="shared" si="4"/>
        <v>2022</v>
      </c>
      <c r="C14" s="19">
        <f t="shared" si="5"/>
        <v>9</v>
      </c>
      <c r="D14" s="143">
        <v>44805</v>
      </c>
      <c r="E14" s="19" t="str">
        <f t="shared" si="6"/>
        <v>9-2022</v>
      </c>
      <c r="F14" s="91">
        <f>'IEPR Gas Prices Real'!F16*(INDEX('GDP Deflator'!$D$6:$D$91,MATCH('IEPR Gas Prices Nominal'!$B14,'GDP Deflator'!$B$6:$B$91,0)))</f>
        <v>5.5706035393388413</v>
      </c>
      <c r="G14" s="91">
        <f>'IEPR Gas Prices Real'!G16*(INDEX('GDP Deflator'!$D$6:$D$91,MATCH('IEPR Gas Prices Nominal'!$B14,'GDP Deflator'!$B$6:$B$91,0)))</f>
        <v>0.8880808876599291</v>
      </c>
      <c r="H14" s="91">
        <f>'IEPR Gas Prices Real'!H16*(INDEX('GDP Deflator'!$D$6:$D$91,MATCH('IEPR Gas Prices Nominal'!$B14,'GDP Deflator'!$B$6:$B$91,0)))</f>
        <v>6.4586844269987704</v>
      </c>
      <c r="I14" s="91">
        <f>'IEPR Gas Prices Real'!I16*(INDEX('GDP Deflator'!$D$6:$D$91,MATCH('IEPR Gas Prices Nominal'!$B14,'GDP Deflator'!$B$6:$B$91,0)))</f>
        <v>5.9038982488870086</v>
      </c>
      <c r="J14" s="91">
        <f>'IEPR Gas Prices Real'!J16*(INDEX('GDP Deflator'!$D$6:$D$91,MATCH('IEPR Gas Prices Nominal'!$B14,'GDP Deflator'!$B$6:$B$91,0)))</f>
        <v>1.4664363155196718</v>
      </c>
      <c r="K14" s="91">
        <f>'IEPR Gas Prices Real'!K16*(INDEX('GDP Deflator'!$D$6:$D$91,MATCH('IEPR Gas Prices Nominal'!$B14,'GDP Deflator'!$B$6:$B$91,0)))</f>
        <v>7.3703345644066802</v>
      </c>
      <c r="L14" s="91">
        <f>'IEPR Gas Prices Real'!L16*(INDEX('GDP Deflator'!$D$6:$D$91,MATCH('IEPR Gas Prices Nominal'!$B14,'GDP Deflator'!$B$6:$B$91,0)))</f>
        <v>6.0372389924311092</v>
      </c>
      <c r="M14" s="91">
        <f>'IEPR Gas Prices Real'!M16*(INDEX('GDP Deflator'!$D$6:$D$91,MATCH('IEPR Gas Prices Nominal'!$B14,'GDP Deflator'!$B$6:$B$91,0)))</f>
        <v>0.69253054374736689</v>
      </c>
      <c r="N14" s="91">
        <f>'IEPR Gas Prices Real'!N16*(INDEX('GDP Deflator'!$D$6:$D$91,MATCH('IEPR Gas Prices Nominal'!$B14,'GDP Deflator'!$B$6:$B$91,0)))</f>
        <v>6.729769536178476</v>
      </c>
      <c r="O14" s="19"/>
      <c r="P14" s="229">
        <f t="shared" si="0"/>
        <v>5.8372469268856539</v>
      </c>
      <c r="Q14" s="229">
        <f t="shared" si="7"/>
        <v>6.8529295091946425</v>
      </c>
      <c r="R14" s="144"/>
      <c r="S14" s="146">
        <v>9</v>
      </c>
      <c r="T14" s="230">
        <f t="shared" si="1"/>
        <v>5.7708270316157124</v>
      </c>
      <c r="U14" s="230">
        <f t="shared" si="1"/>
        <v>5.8889479039205499</v>
      </c>
      <c r="V14" s="230">
        <f t="shared" si="1"/>
        <v>6.0088255293177824</v>
      </c>
      <c r="W14" s="230">
        <f t="shared" si="1"/>
        <v>6.131228243795154</v>
      </c>
      <c r="X14" s="230">
        <f t="shared" si="1"/>
        <v>6.2554591460118418</v>
      </c>
      <c r="Y14" s="230">
        <f t="shared" si="1"/>
        <v>6.382021361178456</v>
      </c>
      <c r="Z14" s="230">
        <f t="shared" si="1"/>
        <v>6.5136496560128139</v>
      </c>
      <c r="AA14" s="230">
        <f t="shared" si="1"/>
        <v>6.648045159363309</v>
      </c>
      <c r="AB14" s="230">
        <f t="shared" si="1"/>
        <v>6.7886075352789517</v>
      </c>
      <c r="AC14" s="230">
        <f t="shared" si="2"/>
        <v>6.9296424808758585</v>
      </c>
      <c r="AD14" s="230">
        <f t="shared" si="2"/>
        <v>7.0740303206615591</v>
      </c>
      <c r="AE14" s="230">
        <f t="shared" si="2"/>
        <v>7.2251533481932428</v>
      </c>
      <c r="AF14" s="230">
        <f t="shared" si="2"/>
        <v>7.3820910377309055</v>
      </c>
      <c r="AG14" s="230">
        <f t="shared" si="2"/>
        <v>7.5442079841166292</v>
      </c>
      <c r="AH14" s="230">
        <f t="shared" si="2"/>
        <v>7.7096524066193455</v>
      </c>
      <c r="AI14" s="230">
        <f t="shared" si="2"/>
        <v>7.8787978562853178</v>
      </c>
      <c r="AJ14" s="230">
        <f t="shared" si="2"/>
        <v>8.051211842692604</v>
      </c>
      <c r="AK14" s="230">
        <f t="shared" si="2"/>
        <v>8.2279606061923829</v>
      </c>
      <c r="AL14" s="230">
        <f t="shared" si="2"/>
        <v>8.4089593371795797</v>
      </c>
      <c r="AM14" s="230">
        <f t="shared" si="3"/>
        <v>8.5938617800975834</v>
      </c>
      <c r="AN14" s="230">
        <f t="shared" si="3"/>
        <v>8.7831929028112796</v>
      </c>
      <c r="AO14" s="230">
        <f t="shared" si="3"/>
        <v>8.9774182497879185</v>
      </c>
      <c r="AP14" s="230">
        <f t="shared" si="3"/>
        <v>9.176610051258999</v>
      </c>
      <c r="AQ14" s="230">
        <f t="shared" si="3"/>
        <v>9.3801714395085387</v>
      </c>
      <c r="AR14" s="230">
        <f t="shared" si="3"/>
        <v>9.5877116991351414</v>
      </c>
      <c r="AS14" s="230">
        <f t="shared" si="3"/>
        <v>9.7793616355830277</v>
      </c>
      <c r="AT14" s="230">
        <f t="shared" si="3"/>
        <v>9.9823460479102213</v>
      </c>
      <c r="AU14" s="230">
        <f t="shared" si="3"/>
        <v>10.185456096987187</v>
      </c>
      <c r="AV14" s="230">
        <f t="shared" si="3"/>
        <v>10.387765483328296</v>
      </c>
      <c r="AW14" s="230">
        <f t="shared" si="3"/>
        <v>10.588808167079621</v>
      </c>
    </row>
    <row r="15" spans="1:59">
      <c r="B15" s="142">
        <f t="shared" si="4"/>
        <v>2022</v>
      </c>
      <c r="C15" s="19">
        <f t="shared" si="5"/>
        <v>10</v>
      </c>
      <c r="D15" s="143">
        <v>44835</v>
      </c>
      <c r="E15" s="19" t="str">
        <f t="shared" si="6"/>
        <v>10-2022</v>
      </c>
      <c r="F15" s="91">
        <f>'IEPR Gas Prices Real'!F17*(INDEX('GDP Deflator'!$D$6:$D$91,MATCH('IEPR Gas Prices Nominal'!$B15,'GDP Deflator'!$B$6:$B$91,0)))</f>
        <v>5.4037542560324061</v>
      </c>
      <c r="G15" s="91">
        <f>'IEPR Gas Prices Real'!G17*(INDEX('GDP Deflator'!$D$6:$D$91,MATCH('IEPR Gas Prices Nominal'!$B15,'GDP Deflator'!$B$6:$B$91,0)))</f>
        <v>0.8880808876599291</v>
      </c>
      <c r="H15" s="91">
        <f>'IEPR Gas Prices Real'!H17*(INDEX('GDP Deflator'!$D$6:$D$91,MATCH('IEPR Gas Prices Nominal'!$B15,'GDP Deflator'!$B$6:$B$91,0)))</f>
        <v>6.2918351436923352</v>
      </c>
      <c r="I15" s="91">
        <f>'IEPR Gas Prices Real'!I17*(INDEX('GDP Deflator'!$D$6:$D$91,MATCH('IEPR Gas Prices Nominal'!$B15,'GDP Deflator'!$B$6:$B$91,0)))</f>
        <v>5.7147491508052966</v>
      </c>
      <c r="J15" s="91">
        <f>'IEPR Gas Prices Real'!J17*(INDEX('GDP Deflator'!$D$6:$D$91,MATCH('IEPR Gas Prices Nominal'!$B15,'GDP Deflator'!$B$6:$B$91,0)))</f>
        <v>1.4664363155196718</v>
      </c>
      <c r="K15" s="91">
        <f>'IEPR Gas Prices Real'!K17*(INDEX('GDP Deflator'!$D$6:$D$91,MATCH('IEPR Gas Prices Nominal'!$B15,'GDP Deflator'!$B$6:$B$91,0)))</f>
        <v>7.1811854663249681</v>
      </c>
      <c r="L15" s="91">
        <f>'IEPR Gas Prices Real'!L17*(INDEX('GDP Deflator'!$D$6:$D$91,MATCH('IEPR Gas Prices Nominal'!$B15,'GDP Deflator'!$B$6:$B$91,0)))</f>
        <v>5.8649001566336709</v>
      </c>
      <c r="M15" s="91">
        <f>'IEPR Gas Prices Real'!M17*(INDEX('GDP Deflator'!$D$6:$D$91,MATCH('IEPR Gas Prices Nominal'!$B15,'GDP Deflator'!$B$6:$B$91,0)))</f>
        <v>0.69253054374736689</v>
      </c>
      <c r="N15" s="91">
        <f>'IEPR Gas Prices Real'!N17*(INDEX('GDP Deflator'!$D$6:$D$91,MATCH('IEPR Gas Prices Nominal'!$B15,'GDP Deflator'!$B$6:$B$91,0)))</f>
        <v>6.5574307003810377</v>
      </c>
      <c r="O15" s="19"/>
      <c r="P15" s="229">
        <f t="shared" si="0"/>
        <v>5.6611345211571242</v>
      </c>
      <c r="Q15" s="229">
        <f t="shared" si="7"/>
        <v>6.6768171034661137</v>
      </c>
      <c r="R15" s="144"/>
      <c r="S15" s="146">
        <v>10</v>
      </c>
      <c r="T15" s="230">
        <f t="shared" si="1"/>
        <v>5.7373789217263917</v>
      </c>
      <c r="U15" s="230">
        <f t="shared" si="1"/>
        <v>5.854746313658012</v>
      </c>
      <c r="V15" s="230">
        <f t="shared" si="1"/>
        <v>5.9740644817788491</v>
      </c>
      <c r="W15" s="230">
        <f t="shared" si="1"/>
        <v>6.0958301034061293</v>
      </c>
      <c r="X15" s="230">
        <f t="shared" si="1"/>
        <v>6.219274298527</v>
      </c>
      <c r="Y15" s="230">
        <f t="shared" si="1"/>
        <v>6.3450921603266695</v>
      </c>
      <c r="Z15" s="230">
        <f t="shared" si="1"/>
        <v>6.4760912830675368</v>
      </c>
      <c r="AA15" s="230">
        <f t="shared" si="1"/>
        <v>6.609490702368066</v>
      </c>
      <c r="AB15" s="230">
        <f t="shared" si="1"/>
        <v>6.7495141640608907</v>
      </c>
      <c r="AC15" s="230">
        <f t="shared" si="2"/>
        <v>6.8892566461730764</v>
      </c>
      <c r="AD15" s="230">
        <f t="shared" si="2"/>
        <v>7.0328612890019473</v>
      </c>
      <c r="AE15" s="230">
        <f t="shared" si="2"/>
        <v>7.1833705364848592</v>
      </c>
      <c r="AF15" s="230">
        <f t="shared" si="2"/>
        <v>7.339439239780126</v>
      </c>
      <c r="AG15" s="230">
        <f t="shared" si="2"/>
        <v>7.5006598942270033</v>
      </c>
      <c r="AH15" s="230">
        <f t="shared" si="2"/>
        <v>7.6649921379440871</v>
      </c>
      <c r="AI15" s="230">
        <f t="shared" si="2"/>
        <v>7.8332037418431781</v>
      </c>
      <c r="AJ15" s="230">
        <f t="shared" si="2"/>
        <v>8.004636238063485</v>
      </c>
      <c r="AK15" s="230">
        <f t="shared" si="2"/>
        <v>8.1803905664774135</v>
      </c>
      <c r="AL15" s="230">
        <f t="shared" si="2"/>
        <v>8.3603513995924796</v>
      </c>
      <c r="AM15" s="230">
        <f t="shared" si="3"/>
        <v>8.5442193820895849</v>
      </c>
      <c r="AN15" s="230">
        <f t="shared" si="3"/>
        <v>8.7324626605788627</v>
      </c>
      <c r="AO15" s="230">
        <f t="shared" si="3"/>
        <v>8.9256042857163074</v>
      </c>
      <c r="AP15" s="230">
        <f t="shared" si="3"/>
        <v>9.1236649021642133</v>
      </c>
      <c r="AQ15" s="230">
        <f t="shared" si="3"/>
        <v>9.3260806853288969</v>
      </c>
      <c r="AR15" s="230">
        <f t="shared" si="3"/>
        <v>9.5324351641199598</v>
      </c>
      <c r="AS15" s="230">
        <f t="shared" si="3"/>
        <v>9.7230168818382232</v>
      </c>
      <c r="AT15" s="230">
        <f t="shared" si="3"/>
        <v>9.9248251351417736</v>
      </c>
      <c r="AU15" s="230">
        <f t="shared" si="3"/>
        <v>10.126882649679622</v>
      </c>
      <c r="AV15" s="230">
        <f t="shared" si="3"/>
        <v>10.328065582390366</v>
      </c>
      <c r="AW15" s="230">
        <f t="shared" si="3"/>
        <v>10.527947220297847</v>
      </c>
    </row>
    <row r="16" spans="1:59">
      <c r="B16" s="142">
        <f t="shared" si="4"/>
        <v>2022</v>
      </c>
      <c r="C16" s="19">
        <f t="shared" si="5"/>
        <v>11</v>
      </c>
      <c r="D16" s="143">
        <v>44866</v>
      </c>
      <c r="E16" s="19" t="str">
        <f t="shared" si="6"/>
        <v>11-2022</v>
      </c>
      <c r="F16" s="91">
        <f>'IEPR Gas Prices Real'!F18*(INDEX('GDP Deflator'!$D$6:$D$91,MATCH('IEPR Gas Prices Nominal'!$B16,'GDP Deflator'!$B$6:$B$91,0)))</f>
        <v>5.5294241038236178</v>
      </c>
      <c r="G16" s="91">
        <f>'IEPR Gas Prices Real'!G18*(INDEX('GDP Deflator'!$D$6:$D$91,MATCH('IEPR Gas Prices Nominal'!$B16,'GDP Deflator'!$B$6:$B$91,0)))</f>
        <v>0.8880808876599291</v>
      </c>
      <c r="H16" s="91">
        <f>'IEPR Gas Prices Real'!H18*(INDEX('GDP Deflator'!$D$6:$D$91,MATCH('IEPR Gas Prices Nominal'!$B16,'GDP Deflator'!$B$6:$B$91,0)))</f>
        <v>6.4175049914835469</v>
      </c>
      <c r="I16" s="91">
        <f>'IEPR Gas Prices Real'!I18*(INDEX('GDP Deflator'!$D$6:$D$91,MATCH('IEPR Gas Prices Nominal'!$B16,'GDP Deflator'!$B$6:$B$91,0)))</f>
        <v>5.8344022247992893</v>
      </c>
      <c r="J16" s="91">
        <f>'IEPR Gas Prices Real'!J18*(INDEX('GDP Deflator'!$D$6:$D$91,MATCH('IEPR Gas Prices Nominal'!$B16,'GDP Deflator'!$B$6:$B$91,0)))</f>
        <v>1.4664363155196718</v>
      </c>
      <c r="K16" s="91">
        <f>'IEPR Gas Prices Real'!K18*(INDEX('GDP Deflator'!$D$6:$D$91,MATCH('IEPR Gas Prices Nominal'!$B16,'GDP Deflator'!$B$6:$B$91,0)))</f>
        <v>7.3008385403189608</v>
      </c>
      <c r="L16" s="91">
        <f>'IEPR Gas Prices Real'!L18*(INDEX('GDP Deflator'!$D$6:$D$91,MATCH('IEPR Gas Prices Nominal'!$B16,'GDP Deflator'!$B$6:$B$91,0)))</f>
        <v>6.0104237593893215</v>
      </c>
      <c r="M16" s="91">
        <f>'IEPR Gas Prices Real'!M18*(INDEX('GDP Deflator'!$D$6:$D$91,MATCH('IEPR Gas Prices Nominal'!$B16,'GDP Deflator'!$B$6:$B$91,0)))</f>
        <v>0.69253054374736689</v>
      </c>
      <c r="N16" s="91">
        <f>'IEPR Gas Prices Real'!N18*(INDEX('GDP Deflator'!$D$6:$D$91,MATCH('IEPR Gas Prices Nominal'!$B16,'GDP Deflator'!$B$6:$B$91,0)))</f>
        <v>6.7029543031366883</v>
      </c>
      <c r="O16" s="19"/>
      <c r="P16" s="229">
        <f t="shared" si="0"/>
        <v>5.7914166960040765</v>
      </c>
      <c r="Q16" s="229">
        <f t="shared" si="7"/>
        <v>6.807099278313065</v>
      </c>
      <c r="R16" s="144"/>
      <c r="S16" s="146">
        <v>11</v>
      </c>
      <c r="T16" s="230">
        <f t="shared" si="1"/>
        <v>6.0207561813857451</v>
      </c>
      <c r="U16" s="230">
        <f t="shared" si="1"/>
        <v>6.1438482599147592</v>
      </c>
      <c r="V16" s="230">
        <f t="shared" si="1"/>
        <v>6.269201789967866</v>
      </c>
      <c r="W16" s="230">
        <f t="shared" si="1"/>
        <v>6.3970575350827339</v>
      </c>
      <c r="X16" s="230">
        <f t="shared" si="1"/>
        <v>6.5265288545230256</v>
      </c>
      <c r="Y16" s="230">
        <f t="shared" si="1"/>
        <v>6.6585497137462442</v>
      </c>
      <c r="Z16" s="230">
        <f t="shared" si="1"/>
        <v>6.7961594505259519</v>
      </c>
      <c r="AA16" s="230">
        <f t="shared" si="1"/>
        <v>6.9359197791129539</v>
      </c>
      <c r="AB16" s="230">
        <f t="shared" si="1"/>
        <v>7.0831486582342436</v>
      </c>
      <c r="AC16" s="230">
        <f t="shared" si="2"/>
        <v>7.2292946669126996</v>
      </c>
      <c r="AD16" s="230">
        <f t="shared" si="2"/>
        <v>7.3800484911278161</v>
      </c>
      <c r="AE16" s="230">
        <f t="shared" si="2"/>
        <v>7.5382667316327128</v>
      </c>
      <c r="AF16" s="230">
        <f t="shared" si="2"/>
        <v>7.7020865377921766</v>
      </c>
      <c r="AG16" s="230">
        <f t="shared" si="2"/>
        <v>7.8713156053499063</v>
      </c>
      <c r="AH16" s="230">
        <f t="shared" si="2"/>
        <v>8.0436036058424438</v>
      </c>
      <c r="AI16" s="230">
        <f t="shared" si="2"/>
        <v>8.2201722573536706</v>
      </c>
      <c r="AJ16" s="230">
        <f t="shared" si="2"/>
        <v>8.4000907637829823</v>
      </c>
      <c r="AK16" s="230">
        <f t="shared" si="2"/>
        <v>8.5845573470852958</v>
      </c>
      <c r="AL16" s="230">
        <f t="shared" si="2"/>
        <v>8.7734184376113458</v>
      </c>
      <c r="AM16" s="230">
        <f t="shared" si="3"/>
        <v>8.9664070122410653</v>
      </c>
      <c r="AN16" s="230">
        <f t="shared" si="3"/>
        <v>9.1639578967763828</v>
      </c>
      <c r="AO16" s="230">
        <f t="shared" si="3"/>
        <v>9.3666831637369512</v>
      </c>
      <c r="AP16" s="230">
        <f t="shared" si="3"/>
        <v>9.5745507752140568</v>
      </c>
      <c r="AQ16" s="230">
        <f t="shared" si="3"/>
        <v>9.7870001080259215</v>
      </c>
      <c r="AR16" s="230">
        <f t="shared" si="3"/>
        <v>10.003564712276861</v>
      </c>
      <c r="AS16" s="230">
        <f t="shared" si="3"/>
        <v>10.203604238756961</v>
      </c>
      <c r="AT16" s="230">
        <f t="shared" si="3"/>
        <v>10.415380457164362</v>
      </c>
      <c r="AU16" s="230">
        <f t="shared" si="3"/>
        <v>10.627548762533781</v>
      </c>
      <c r="AV16" s="230">
        <f t="shared" si="3"/>
        <v>10.838716836815484</v>
      </c>
      <c r="AW16" s="230">
        <f t="shared" si="3"/>
        <v>11.048475331558102</v>
      </c>
    </row>
    <row r="17" spans="2:49">
      <c r="B17" s="142">
        <f t="shared" si="4"/>
        <v>2022</v>
      </c>
      <c r="C17" s="19">
        <f t="shared" si="5"/>
        <v>12</v>
      </c>
      <c r="D17" s="143">
        <v>44896</v>
      </c>
      <c r="E17" s="19" t="str">
        <f t="shared" si="6"/>
        <v>12-2022</v>
      </c>
      <c r="F17" s="91">
        <f>'IEPR Gas Prices Real'!F19*(INDEX('GDP Deflator'!$D$6:$D$91,MATCH('IEPR Gas Prices Nominal'!$B17,'GDP Deflator'!$B$6:$B$91,0)))</f>
        <v>5.4313297788500687</v>
      </c>
      <c r="G17" s="91">
        <f>'IEPR Gas Prices Real'!G19*(INDEX('GDP Deflator'!$D$6:$D$91,MATCH('IEPR Gas Prices Nominal'!$B17,'GDP Deflator'!$B$6:$B$91,0)))</f>
        <v>0.8880808876599291</v>
      </c>
      <c r="H17" s="91">
        <f>'IEPR Gas Prices Real'!H19*(INDEX('GDP Deflator'!$D$6:$D$91,MATCH('IEPR Gas Prices Nominal'!$B17,'GDP Deflator'!$B$6:$B$91,0)))</f>
        <v>6.3194106665099978</v>
      </c>
      <c r="I17" s="91">
        <f>'IEPR Gas Prices Real'!I19*(INDEX('GDP Deflator'!$D$6:$D$91,MATCH('IEPR Gas Prices Nominal'!$B17,'GDP Deflator'!$B$6:$B$91,0)))</f>
        <v>5.7171988745800038</v>
      </c>
      <c r="J17" s="91">
        <f>'IEPR Gas Prices Real'!J19*(INDEX('GDP Deflator'!$D$6:$D$91,MATCH('IEPR Gas Prices Nominal'!$B17,'GDP Deflator'!$B$6:$B$91,0)))</f>
        <v>1.4664363155196718</v>
      </c>
      <c r="K17" s="91">
        <f>'IEPR Gas Prices Real'!K19*(INDEX('GDP Deflator'!$D$6:$D$91,MATCH('IEPR Gas Prices Nominal'!$B17,'GDP Deflator'!$B$6:$B$91,0)))</f>
        <v>7.1836351900996753</v>
      </c>
      <c r="L17" s="91">
        <f>'IEPR Gas Prices Real'!L19*(INDEX('GDP Deflator'!$D$6:$D$91,MATCH('IEPR Gas Prices Nominal'!$B17,'GDP Deflator'!$B$6:$B$91,0)))</f>
        <v>5.91323522187135</v>
      </c>
      <c r="M17" s="91">
        <f>'IEPR Gas Prices Real'!M19*(INDEX('GDP Deflator'!$D$6:$D$91,MATCH('IEPR Gas Prices Nominal'!$B17,'GDP Deflator'!$B$6:$B$91,0)))</f>
        <v>0.69253054374736689</v>
      </c>
      <c r="N17" s="91">
        <f>'IEPR Gas Prices Real'!N19*(INDEX('GDP Deflator'!$D$6:$D$91,MATCH('IEPR Gas Prices Nominal'!$B17,'GDP Deflator'!$B$6:$B$91,0)))</f>
        <v>6.6057657656187168</v>
      </c>
      <c r="O17" s="19"/>
      <c r="P17" s="229">
        <f t="shared" si="0"/>
        <v>5.6872546251004747</v>
      </c>
      <c r="Q17" s="229">
        <f t="shared" si="7"/>
        <v>6.7029372074094633</v>
      </c>
      <c r="R17" s="144"/>
      <c r="S17" s="146">
        <v>12</v>
      </c>
      <c r="T17" s="230">
        <f t="shared" si="1"/>
        <v>6.0689790537941617</v>
      </c>
      <c r="U17" s="230">
        <f t="shared" si="1"/>
        <v>6.1929841860548649</v>
      </c>
      <c r="V17" s="230">
        <f t="shared" si="1"/>
        <v>6.3194849558042705</v>
      </c>
      <c r="W17" s="230">
        <f t="shared" si="1"/>
        <v>6.4484413206443598</v>
      </c>
      <c r="X17" s="230">
        <f t="shared" si="1"/>
        <v>6.5788791025056623</v>
      </c>
      <c r="Y17" s="230">
        <f t="shared" si="1"/>
        <v>6.7119459574423148</v>
      </c>
      <c r="Z17" s="230">
        <f t="shared" si="1"/>
        <v>6.8507993987140834</v>
      </c>
      <c r="AA17" s="230">
        <f t="shared" si="1"/>
        <v>6.9914493923723304</v>
      </c>
      <c r="AB17" s="230">
        <f t="shared" si="1"/>
        <v>7.1401493151839368</v>
      </c>
      <c r="AC17" s="230">
        <f t="shared" si="2"/>
        <v>7.2869632498753658</v>
      </c>
      <c r="AD17" s="230">
        <f t="shared" si="2"/>
        <v>7.4389813323204974</v>
      </c>
      <c r="AE17" s="230">
        <f t="shared" si="2"/>
        <v>7.5987441859486786</v>
      </c>
      <c r="AF17" s="230">
        <f t="shared" si="2"/>
        <v>7.7639190936263427</v>
      </c>
      <c r="AG17" s="230">
        <f t="shared" si="2"/>
        <v>7.9345494591833772</v>
      </c>
      <c r="AH17" s="230">
        <f t="shared" si="2"/>
        <v>8.1080552317530419</v>
      </c>
      <c r="AI17" s="230">
        <f t="shared" si="2"/>
        <v>8.2860873360988379</v>
      </c>
      <c r="AJ17" s="230">
        <f t="shared" si="2"/>
        <v>8.4674657581384682</v>
      </c>
      <c r="AK17" s="230">
        <f t="shared" si="2"/>
        <v>8.6534415721994904</v>
      </c>
      <c r="AL17" s="230">
        <f t="shared" si="2"/>
        <v>8.8438271670232851</v>
      </c>
      <c r="AM17" s="230">
        <f t="shared" si="3"/>
        <v>9.0384008831326579</v>
      </c>
      <c r="AN17" s="230">
        <f t="shared" si="3"/>
        <v>9.237544125129503</v>
      </c>
      <c r="AO17" s="230">
        <f t="shared" si="3"/>
        <v>9.4419375712677915</v>
      </c>
      <c r="AP17" s="230">
        <f t="shared" si="3"/>
        <v>9.6514947864856762</v>
      </c>
      <c r="AQ17" s="230">
        <f t="shared" si="3"/>
        <v>9.8656819602510168</v>
      </c>
      <c r="AR17" s="230">
        <f t="shared" si="3"/>
        <v>10.083999257929332</v>
      </c>
      <c r="AS17" s="230">
        <f t="shared" si="3"/>
        <v>10.28568606163538</v>
      </c>
      <c r="AT17" s="230">
        <f t="shared" si="3"/>
        <v>10.499158861564974</v>
      </c>
      <c r="AU17" s="230">
        <f t="shared" si="3"/>
        <v>10.713158468448832</v>
      </c>
      <c r="AV17" s="230">
        <f t="shared" si="3"/>
        <v>10.926066707568102</v>
      </c>
      <c r="AW17" s="230">
        <f t="shared" si="3"/>
        <v>11.137509706046513</v>
      </c>
    </row>
    <row r="18" spans="2:49">
      <c r="B18" s="142">
        <f t="shared" si="4"/>
        <v>2023</v>
      </c>
      <c r="C18" s="19">
        <f t="shared" si="5"/>
        <v>1</v>
      </c>
      <c r="D18" s="143">
        <v>44927</v>
      </c>
      <c r="E18" s="19" t="str">
        <f t="shared" si="6"/>
        <v>1-2023</v>
      </c>
      <c r="F18" s="91">
        <f>'IEPR Gas Prices Real'!F20*(INDEX('GDP Deflator'!$D$6:$D$91,MATCH('IEPR Gas Prices Nominal'!$B18,'GDP Deflator'!$B$6:$B$91,0)))</f>
        <v>5.544792014006414</v>
      </c>
      <c r="G18" s="91">
        <f>'IEPR Gas Prices Real'!G20*(INDEX('GDP Deflator'!$D$6:$D$91,MATCH('IEPR Gas Prices Nominal'!$B18,'GDP Deflator'!$B$6:$B$91,0)))</f>
        <v>0.90873263040044228</v>
      </c>
      <c r="H18" s="91">
        <f>'IEPR Gas Prices Real'!H20*(INDEX('GDP Deflator'!$D$6:$D$91,MATCH('IEPR Gas Prices Nominal'!$B18,'GDP Deflator'!$B$6:$B$91,0)))</f>
        <v>6.4535246444068557</v>
      </c>
      <c r="I18" s="91">
        <f>'IEPR Gas Prices Real'!I20*(INDEX('GDP Deflator'!$D$6:$D$91,MATCH('IEPR Gas Prices Nominal'!$B18,'GDP Deflator'!$B$6:$B$91,0)))</f>
        <v>5.8367812738635534</v>
      </c>
      <c r="J18" s="91">
        <f>'IEPR Gas Prices Real'!J20*(INDEX('GDP Deflator'!$D$6:$D$91,MATCH('IEPR Gas Prices Nominal'!$B18,'GDP Deflator'!$B$6:$B$91,0)))</f>
        <v>1.500537337120595</v>
      </c>
      <c r="K18" s="91">
        <f>'IEPR Gas Prices Real'!K20*(INDEX('GDP Deflator'!$D$6:$D$91,MATCH('IEPR Gas Prices Nominal'!$B18,'GDP Deflator'!$B$6:$B$91,0)))</f>
        <v>7.3373186109841475</v>
      </c>
      <c r="L18" s="91">
        <f>'IEPR Gas Prices Real'!L20*(INDEX('GDP Deflator'!$D$6:$D$91,MATCH('IEPR Gas Prices Nominal'!$B18,'GDP Deflator'!$B$6:$B$91,0)))</f>
        <v>6.0373710477318836</v>
      </c>
      <c r="M18" s="91">
        <f>'IEPR Gas Prices Real'!M20*(INDEX('GDP Deflator'!$D$6:$D$91,MATCH('IEPR Gas Prices Nominal'!$B18,'GDP Deflator'!$B$6:$B$91,0)))</f>
        <v>0.70863489057899798</v>
      </c>
      <c r="N18" s="91">
        <f>'IEPR Gas Prices Real'!N20*(INDEX('GDP Deflator'!$D$6:$D$91,MATCH('IEPR Gas Prices Nominal'!$B18,'GDP Deflator'!$B$6:$B$91,0)))</f>
        <v>6.7460059383108817</v>
      </c>
      <c r="O18" s="19"/>
      <c r="P18" s="229">
        <f t="shared" si="0"/>
        <v>5.8063147785339497</v>
      </c>
      <c r="Q18" s="229">
        <f t="shared" si="7"/>
        <v>6.8456163979006277</v>
      </c>
      <c r="R18" s="144"/>
      <c r="S18" s="147" t="s">
        <v>212</v>
      </c>
      <c r="T18" s="148">
        <f t="shared" ref="T18:AW18" si="8">AVERAGE(T6:T17)</f>
        <v>5.7577397035741198</v>
      </c>
      <c r="U18" s="148">
        <f t="shared" si="8"/>
        <v>5.8757627265464931</v>
      </c>
      <c r="V18" s="148">
        <f t="shared" si="8"/>
        <v>5.9950341718858633</v>
      </c>
      <c r="W18" s="148">
        <f t="shared" si="8"/>
        <v>6.1169805772507369</v>
      </c>
      <c r="X18" s="148">
        <f t="shared" si="8"/>
        <v>6.2410943710292086</v>
      </c>
      <c r="Y18" s="148">
        <f t="shared" si="8"/>
        <v>6.3673962123381846</v>
      </c>
      <c r="Z18" s="148">
        <f t="shared" si="8"/>
        <v>6.4983956477362037</v>
      </c>
      <c r="AA18" s="148">
        <f t="shared" si="8"/>
        <v>6.6330226027566859</v>
      </c>
      <c r="AB18" s="148">
        <f t="shared" si="8"/>
        <v>6.7725850465173787</v>
      </c>
      <c r="AC18" s="148">
        <f t="shared" si="8"/>
        <v>6.9144733403876906</v>
      </c>
      <c r="AD18" s="148">
        <f t="shared" si="8"/>
        <v>7.0584011402671871</v>
      </c>
      <c r="AE18" s="148">
        <f t="shared" si="8"/>
        <v>7.2085340122779273</v>
      </c>
      <c r="AF18" s="148">
        <f t="shared" si="8"/>
        <v>7.3650154304837647</v>
      </c>
      <c r="AG18" s="148">
        <f t="shared" si="8"/>
        <v>7.526657657665516</v>
      </c>
      <c r="AH18" s="148">
        <f t="shared" si="8"/>
        <v>7.6921053791318839</v>
      </c>
      <c r="AI18" s="148">
        <f t="shared" si="8"/>
        <v>7.8607523065524871</v>
      </c>
      <c r="AJ18" s="148">
        <f t="shared" si="8"/>
        <v>8.0327312408870259</v>
      </c>
      <c r="AK18" s="148">
        <f t="shared" si="8"/>
        <v>8.2090050401156791</v>
      </c>
      <c r="AL18" s="148">
        <f t="shared" si="8"/>
        <v>8.3895656741513509</v>
      </c>
      <c r="AM18" s="148">
        <f t="shared" si="8"/>
        <v>8.5739567951133644</v>
      </c>
      <c r="AN18" s="148">
        <f t="shared" si="8"/>
        <v>8.7628350025503163</v>
      </c>
      <c r="AO18" s="148">
        <f t="shared" si="8"/>
        <v>8.9565160919471545</v>
      </c>
      <c r="AP18" s="148">
        <f t="shared" si="8"/>
        <v>9.1551985018552546</v>
      </c>
      <c r="AQ18" s="148">
        <f t="shared" si="8"/>
        <v>9.3582136524542676</v>
      </c>
      <c r="AR18" s="148">
        <f t="shared" si="8"/>
        <v>9.5652409190065004</v>
      </c>
      <c r="AS18" s="148">
        <f t="shared" si="8"/>
        <v>9.7563510162574527</v>
      </c>
      <c r="AT18" s="148">
        <f t="shared" si="8"/>
        <v>9.9588742210767549</v>
      </c>
      <c r="AU18" s="148">
        <f t="shared" si="8"/>
        <v>10.161215651285602</v>
      </c>
      <c r="AV18" s="148">
        <f t="shared" si="8"/>
        <v>10.362952261610966</v>
      </c>
      <c r="AW18" s="148">
        <f t="shared" si="8"/>
        <v>10.563528610950309</v>
      </c>
    </row>
    <row r="19" spans="2:49">
      <c r="B19" s="142">
        <f t="shared" si="4"/>
        <v>2023</v>
      </c>
      <c r="C19" s="19">
        <f t="shared" si="5"/>
        <v>2</v>
      </c>
      <c r="D19" s="143">
        <v>44958</v>
      </c>
      <c r="E19" s="19" t="str">
        <f t="shared" si="6"/>
        <v>2-2023</v>
      </c>
      <c r="F19" s="91">
        <f>'IEPR Gas Prices Real'!F21*(INDEX('GDP Deflator'!$D$6:$D$91,MATCH('IEPR Gas Prices Nominal'!$B19,'GDP Deflator'!$B$6:$B$91,0)))</f>
        <v>5.4103453225790377</v>
      </c>
      <c r="G19" s="91">
        <f>'IEPR Gas Prices Real'!G21*(INDEX('GDP Deflator'!$D$6:$D$91,MATCH('IEPR Gas Prices Nominal'!$B19,'GDP Deflator'!$B$6:$B$91,0)))</f>
        <v>0.90873263040044228</v>
      </c>
      <c r="H19" s="91">
        <f>'IEPR Gas Prices Real'!H21*(INDEX('GDP Deflator'!$D$6:$D$91,MATCH('IEPR Gas Prices Nominal'!$B19,'GDP Deflator'!$B$6:$B$91,0)))</f>
        <v>6.3190779529794803</v>
      </c>
      <c r="I19" s="91">
        <f>'IEPR Gas Prices Real'!I21*(INDEX('GDP Deflator'!$D$6:$D$91,MATCH('IEPR Gas Prices Nominal'!$B19,'GDP Deflator'!$B$6:$B$91,0)))</f>
        <v>5.6953999791932199</v>
      </c>
      <c r="J19" s="91">
        <f>'IEPR Gas Prices Real'!J21*(INDEX('GDP Deflator'!$D$6:$D$91,MATCH('IEPR Gas Prices Nominal'!$B19,'GDP Deflator'!$B$6:$B$91,0)))</f>
        <v>1.500537337120595</v>
      </c>
      <c r="K19" s="91">
        <f>'IEPR Gas Prices Real'!K21*(INDEX('GDP Deflator'!$D$6:$D$91,MATCH('IEPR Gas Prices Nominal'!$B19,'GDP Deflator'!$B$6:$B$91,0)))</f>
        <v>7.1959373163138141</v>
      </c>
      <c r="L19" s="91">
        <f>'IEPR Gas Prices Real'!L21*(INDEX('GDP Deflator'!$D$6:$D$91,MATCH('IEPR Gas Prices Nominal'!$B19,'GDP Deflator'!$B$6:$B$91,0)))</f>
        <v>5.8915751961258378</v>
      </c>
      <c r="M19" s="91">
        <f>'IEPR Gas Prices Real'!M21*(INDEX('GDP Deflator'!$D$6:$D$91,MATCH('IEPR Gas Prices Nominal'!$B19,'GDP Deflator'!$B$6:$B$91,0)))</f>
        <v>0.70863489057899798</v>
      </c>
      <c r="N19" s="91">
        <f>'IEPR Gas Prices Real'!N21*(INDEX('GDP Deflator'!$D$6:$D$91,MATCH('IEPR Gas Prices Nominal'!$B19,'GDP Deflator'!$B$6:$B$91,0)))</f>
        <v>6.6002100867048359</v>
      </c>
      <c r="O19" s="19"/>
      <c r="P19" s="229">
        <f t="shared" si="0"/>
        <v>5.6657734992993651</v>
      </c>
      <c r="Q19" s="229">
        <f t="shared" si="7"/>
        <v>6.7050751186660422</v>
      </c>
      <c r="R19" s="144"/>
      <c r="S19" s="140"/>
      <c r="T19" s="140"/>
      <c r="U19" s="140"/>
      <c r="V19" s="140"/>
      <c r="W19" s="140"/>
      <c r="X19" s="140"/>
      <c r="Y19" s="140"/>
      <c r="Z19" s="140"/>
      <c r="AA19" s="140"/>
      <c r="AB19" s="140"/>
      <c r="AC19" s="140"/>
      <c r="AD19" s="140"/>
      <c r="AE19" s="140"/>
      <c r="AF19" s="140"/>
      <c r="AG19" s="140"/>
      <c r="AH19" s="140"/>
      <c r="AI19" s="140"/>
      <c r="AJ19" s="140"/>
      <c r="AK19" s="140"/>
      <c r="AL19" s="140"/>
    </row>
    <row r="20" spans="2:49">
      <c r="B20" s="142">
        <f t="shared" si="4"/>
        <v>2023</v>
      </c>
      <c r="C20" s="19">
        <f t="shared" si="5"/>
        <v>3</v>
      </c>
      <c r="D20" s="143">
        <v>44986</v>
      </c>
      <c r="E20" s="19" t="str">
        <f t="shared" si="6"/>
        <v>3-2023</v>
      </c>
      <c r="F20" s="91">
        <f>'IEPR Gas Prices Real'!F22*(INDEX('GDP Deflator'!$D$6:$D$91,MATCH('IEPR Gas Prices Nominal'!$B20,'GDP Deflator'!$B$6:$B$91,0)))</f>
        <v>4.9548890989306589</v>
      </c>
      <c r="G20" s="91">
        <f>'IEPR Gas Prices Real'!G22*(INDEX('GDP Deflator'!$D$6:$D$91,MATCH('IEPR Gas Prices Nominal'!$B20,'GDP Deflator'!$B$6:$B$91,0)))</f>
        <v>0.90873263040044228</v>
      </c>
      <c r="H20" s="91">
        <f>'IEPR Gas Prices Real'!H22*(INDEX('GDP Deflator'!$D$6:$D$91,MATCH('IEPR Gas Prices Nominal'!$B20,'GDP Deflator'!$B$6:$B$91,0)))</f>
        <v>5.8636217293311006</v>
      </c>
      <c r="I20" s="91">
        <f>'IEPR Gas Prices Real'!I22*(INDEX('GDP Deflator'!$D$6:$D$91,MATCH('IEPR Gas Prices Nominal'!$B20,'GDP Deflator'!$B$6:$B$91,0)))</f>
        <v>5.2160809315474559</v>
      </c>
      <c r="J20" s="91">
        <f>'IEPR Gas Prices Real'!J22*(INDEX('GDP Deflator'!$D$6:$D$91,MATCH('IEPR Gas Prices Nominal'!$B20,'GDP Deflator'!$B$6:$B$91,0)))</f>
        <v>1.500537337120595</v>
      </c>
      <c r="K20" s="91">
        <f>'IEPR Gas Prices Real'!K22*(INDEX('GDP Deflator'!$D$6:$D$91,MATCH('IEPR Gas Prices Nominal'!$B20,'GDP Deflator'!$B$6:$B$91,0)))</f>
        <v>6.7166182686680509</v>
      </c>
      <c r="L20" s="91">
        <f>'IEPR Gas Prices Real'!L22*(INDEX('GDP Deflator'!$D$6:$D$91,MATCH('IEPR Gas Prices Nominal'!$B20,'GDP Deflator'!$B$6:$B$91,0)))</f>
        <v>5.3961550355554992</v>
      </c>
      <c r="M20" s="91">
        <f>'IEPR Gas Prices Real'!M22*(INDEX('GDP Deflator'!$D$6:$D$91,MATCH('IEPR Gas Prices Nominal'!$B20,'GDP Deflator'!$B$6:$B$91,0)))</f>
        <v>0.70863489057899798</v>
      </c>
      <c r="N20" s="91">
        <f>'IEPR Gas Prices Real'!N22*(INDEX('GDP Deflator'!$D$6:$D$91,MATCH('IEPR Gas Prices Nominal'!$B20,'GDP Deflator'!$B$6:$B$91,0)))</f>
        <v>6.1047899261344973</v>
      </c>
      <c r="O20" s="19"/>
      <c r="P20" s="229">
        <f t="shared" si="0"/>
        <v>5.1890416886778716</v>
      </c>
      <c r="Q20" s="229">
        <f t="shared" si="7"/>
        <v>6.2283433080445496</v>
      </c>
      <c r="R20" s="144"/>
      <c r="S20" s="238" t="s">
        <v>213</v>
      </c>
      <c r="T20" s="234">
        <f>'User Dashboard'!E$58</f>
        <v>2026</v>
      </c>
      <c r="U20" s="234">
        <f>'User Dashboard'!F$58</f>
        <v>2027</v>
      </c>
      <c r="V20" s="234">
        <f>'User Dashboard'!G$58</f>
        <v>2028</v>
      </c>
      <c r="W20" s="234">
        <f>'User Dashboard'!H$58</f>
        <v>2029</v>
      </c>
      <c r="X20" s="234">
        <f>'User Dashboard'!I$58</f>
        <v>2030</v>
      </c>
      <c r="Y20" s="234">
        <f>'User Dashboard'!J$58</f>
        <v>2031</v>
      </c>
      <c r="Z20" s="234">
        <f>'User Dashboard'!K$58</f>
        <v>2032</v>
      </c>
      <c r="AA20" s="234">
        <f>'User Dashboard'!L$58</f>
        <v>2033</v>
      </c>
      <c r="AB20" s="234">
        <f>'User Dashboard'!M$58</f>
        <v>2034</v>
      </c>
      <c r="AC20" s="234">
        <f>'User Dashboard'!N$58</f>
        <v>2035</v>
      </c>
      <c r="AD20" s="234">
        <f>'User Dashboard'!O$58</f>
        <v>2036</v>
      </c>
      <c r="AE20" s="234">
        <f>'User Dashboard'!P$58</f>
        <v>2037</v>
      </c>
      <c r="AF20" s="234">
        <f>'User Dashboard'!Q$58</f>
        <v>2038</v>
      </c>
      <c r="AG20" s="234">
        <f>'User Dashboard'!R$58</f>
        <v>2039</v>
      </c>
      <c r="AH20" s="234">
        <f>'User Dashboard'!S$58</f>
        <v>2040</v>
      </c>
      <c r="AI20" s="234">
        <f>'User Dashboard'!T$58</f>
        <v>2041</v>
      </c>
      <c r="AJ20" s="234">
        <f>'User Dashboard'!U$58</f>
        <v>2042</v>
      </c>
      <c r="AK20" s="234">
        <f>'User Dashboard'!V$58</f>
        <v>2043</v>
      </c>
      <c r="AL20" s="234">
        <f>'User Dashboard'!W$58</f>
        <v>2044</v>
      </c>
      <c r="AM20" s="234">
        <f>'User Dashboard'!X$58</f>
        <v>2045</v>
      </c>
      <c r="AN20" s="234">
        <f>'User Dashboard'!Y$58</f>
        <v>2046</v>
      </c>
      <c r="AO20" s="234">
        <f>'User Dashboard'!Z$58</f>
        <v>2047</v>
      </c>
      <c r="AP20" s="234">
        <f>'User Dashboard'!AA$58</f>
        <v>2048</v>
      </c>
      <c r="AQ20" s="234">
        <f>'User Dashboard'!AB$58</f>
        <v>2049</v>
      </c>
      <c r="AR20" s="234">
        <f>'User Dashboard'!AC$58</f>
        <v>2050</v>
      </c>
      <c r="AS20" s="234">
        <f>'User Dashboard'!AD$58</f>
        <v>2051</v>
      </c>
      <c r="AT20" s="234">
        <f>'User Dashboard'!AE$58</f>
        <v>2052</v>
      </c>
      <c r="AU20" s="234">
        <f>'User Dashboard'!AF$58</f>
        <v>2053</v>
      </c>
      <c r="AV20" s="234">
        <f>'User Dashboard'!AG$58</f>
        <v>2054</v>
      </c>
      <c r="AW20" s="234">
        <f>'User Dashboard'!AH$58</f>
        <v>2055</v>
      </c>
    </row>
    <row r="21" spans="2:49">
      <c r="B21" s="142">
        <f t="shared" si="4"/>
        <v>2023</v>
      </c>
      <c r="C21" s="19">
        <f t="shared" si="5"/>
        <v>4</v>
      </c>
      <c r="D21" s="143">
        <v>45017</v>
      </c>
      <c r="E21" s="19" t="str">
        <f t="shared" si="6"/>
        <v>4-2023</v>
      </c>
      <c r="F21" s="91">
        <f>'IEPR Gas Prices Real'!F23*(INDEX('GDP Deflator'!$D$6:$D$91,MATCH('IEPR Gas Prices Nominal'!$B21,'GDP Deflator'!$B$6:$B$91,0)))</f>
        <v>4.8589572670236318</v>
      </c>
      <c r="G21" s="91">
        <f>'IEPR Gas Prices Real'!G23*(INDEX('GDP Deflator'!$D$6:$D$91,MATCH('IEPR Gas Prices Nominal'!$B21,'GDP Deflator'!$B$6:$B$91,0)))</f>
        <v>0.90873263040044228</v>
      </c>
      <c r="H21" s="91">
        <f>'IEPR Gas Prices Real'!H23*(INDEX('GDP Deflator'!$D$6:$D$91,MATCH('IEPR Gas Prices Nominal'!$B21,'GDP Deflator'!$B$6:$B$91,0)))</f>
        <v>5.7676898974240736</v>
      </c>
      <c r="I21" s="91">
        <f>'IEPR Gas Prices Real'!I23*(INDEX('GDP Deflator'!$D$6:$D$91,MATCH('IEPR Gas Prices Nominal'!$B21,'GDP Deflator'!$B$6:$B$91,0)))</f>
        <v>5.115223981753795</v>
      </c>
      <c r="J21" s="91">
        <f>'IEPR Gas Prices Real'!J23*(INDEX('GDP Deflator'!$D$6:$D$91,MATCH('IEPR Gas Prices Nominal'!$B21,'GDP Deflator'!$B$6:$B$91,0)))</f>
        <v>1.500537337120595</v>
      </c>
      <c r="K21" s="91">
        <f>'IEPR Gas Prices Real'!K23*(INDEX('GDP Deflator'!$D$6:$D$91,MATCH('IEPR Gas Prices Nominal'!$B21,'GDP Deflator'!$B$6:$B$91,0)))</f>
        <v>6.6157613188743891</v>
      </c>
      <c r="L21" s="91">
        <f>'IEPR Gas Prices Real'!L23*(INDEX('GDP Deflator'!$D$6:$D$91,MATCH('IEPR Gas Prices Nominal'!$B21,'GDP Deflator'!$B$6:$B$91,0)))</f>
        <v>5.2922190332182311</v>
      </c>
      <c r="M21" s="91">
        <f>'IEPR Gas Prices Real'!M23*(INDEX('GDP Deflator'!$D$6:$D$91,MATCH('IEPR Gas Prices Nominal'!$B21,'GDP Deflator'!$B$6:$B$91,0)))</f>
        <v>0.70863489057899798</v>
      </c>
      <c r="N21" s="91">
        <f>'IEPR Gas Prices Real'!N23*(INDEX('GDP Deflator'!$D$6:$D$91,MATCH('IEPR Gas Prices Nominal'!$B21,'GDP Deflator'!$B$6:$B$91,0)))</f>
        <v>6.0008539237972292</v>
      </c>
      <c r="O21" s="19"/>
      <c r="P21" s="229">
        <f t="shared" si="0"/>
        <v>5.0888000939985529</v>
      </c>
      <c r="Q21" s="229">
        <f t="shared" si="7"/>
        <v>6.12810171336523</v>
      </c>
      <c r="R21" s="144"/>
      <c r="S21" s="145">
        <v>1</v>
      </c>
      <c r="T21" s="230">
        <f t="shared" ref="T21:AB32" si="9">INDEX($Q$6:$Q$413,MATCH(_xlfn.CONCAT($S21,"-",T$20),$E$6:$E$413,0))</f>
        <v>7.3272470981378932</v>
      </c>
      <c r="U21" s="230">
        <f t="shared" si="9"/>
        <v>7.5302850294705479</v>
      </c>
      <c r="V21" s="230">
        <f t="shared" si="9"/>
        <v>7.7379185459762816</v>
      </c>
      <c r="W21" s="230">
        <f t="shared" si="9"/>
        <v>7.9536296792232237</v>
      </c>
      <c r="X21" s="230">
        <f t="shared" si="9"/>
        <v>8.1777912806109949</v>
      </c>
      <c r="Y21" s="230">
        <f t="shared" si="9"/>
        <v>8.4097123015313873</v>
      </c>
      <c r="Z21" s="230">
        <f t="shared" si="9"/>
        <v>8.6522147996187115</v>
      </c>
      <c r="AA21" s="230">
        <f t="shared" si="9"/>
        <v>8.9075971511122951</v>
      </c>
      <c r="AB21" s="230">
        <f t="shared" si="9"/>
        <v>9.1727585409075747</v>
      </c>
      <c r="AC21" s="230">
        <f t="shared" ref="AC21:AL32" si="10">INDEX($Q$6:$Q$413,MATCH(_xlfn.CONCAT($S21,"-",AC$20),$E$6:$E$413,0))</f>
        <v>9.4525652930731763</v>
      </c>
      <c r="AD21" s="230">
        <f t="shared" si="10"/>
        <v>9.7398623280874972</v>
      </c>
      <c r="AE21" s="230">
        <f t="shared" si="10"/>
        <v>10.041418550765082</v>
      </c>
      <c r="AF21" s="230">
        <f t="shared" si="10"/>
        <v>10.360603029035985</v>
      </c>
      <c r="AG21" s="230">
        <f t="shared" si="10"/>
        <v>10.695460703903782</v>
      </c>
      <c r="AH21" s="230">
        <f t="shared" si="10"/>
        <v>11.046342969288341</v>
      </c>
      <c r="AI21" s="230">
        <f t="shared" si="10"/>
        <v>11.410654598195537</v>
      </c>
      <c r="AJ21" s="230">
        <f t="shared" si="10"/>
        <v>11.790235255256206</v>
      </c>
      <c r="AK21" s="230">
        <f t="shared" si="10"/>
        <v>12.186857996098595</v>
      </c>
      <c r="AL21" s="230">
        <f t="shared" si="10"/>
        <v>12.601609649462135</v>
      </c>
      <c r="AM21" s="230">
        <f t="shared" ref="AM21:AW32" si="11">INDEX($Q$6:$Q$413,MATCH(_xlfn.CONCAT($S21,"-",AM$20),$E$6:$E$413,0))</f>
        <v>13.03432500698573</v>
      </c>
      <c r="AN21" s="230">
        <f t="shared" si="11"/>
        <v>13.487186276100696</v>
      </c>
      <c r="AO21" s="230">
        <f t="shared" si="11"/>
        <v>13.961231923433298</v>
      </c>
      <c r="AP21" s="230">
        <f t="shared" si="11"/>
        <v>14.45804059535133</v>
      </c>
      <c r="AQ21" s="230">
        <f t="shared" si="11"/>
        <v>14.977449222050183</v>
      </c>
      <c r="AR21" s="230">
        <f t="shared" si="11"/>
        <v>15.52021250305871</v>
      </c>
      <c r="AS21" s="230">
        <f t="shared" si="11"/>
        <v>16.054363298838634</v>
      </c>
      <c r="AT21" s="230">
        <f t="shared" si="11"/>
        <v>16.625763994938193</v>
      </c>
      <c r="AU21" s="230">
        <f t="shared" si="11"/>
        <v>17.215175328538848</v>
      </c>
      <c r="AV21" s="230">
        <f t="shared" si="11"/>
        <v>17.823851611973595</v>
      </c>
      <c r="AW21" s="230">
        <f t="shared" si="11"/>
        <v>18.452005707632221</v>
      </c>
    </row>
    <row r="22" spans="2:49">
      <c r="B22" s="142">
        <f t="shared" si="4"/>
        <v>2023</v>
      </c>
      <c r="C22" s="19">
        <f t="shared" si="5"/>
        <v>5</v>
      </c>
      <c r="D22" s="143">
        <v>45047</v>
      </c>
      <c r="E22" s="19" t="str">
        <f t="shared" si="6"/>
        <v>5-2023</v>
      </c>
      <c r="F22" s="91">
        <f>'IEPR Gas Prices Real'!F24*(INDEX('GDP Deflator'!$D$6:$D$91,MATCH('IEPR Gas Prices Nominal'!$B22,'GDP Deflator'!$B$6:$B$91,0)))</f>
        <v>5.0160356729505873</v>
      </c>
      <c r="G22" s="91">
        <f>'IEPR Gas Prices Real'!G24*(INDEX('GDP Deflator'!$D$6:$D$91,MATCH('IEPR Gas Prices Nominal'!$B22,'GDP Deflator'!$B$6:$B$91,0)))</f>
        <v>0.90873263040044228</v>
      </c>
      <c r="H22" s="91">
        <f>'IEPR Gas Prices Real'!H24*(INDEX('GDP Deflator'!$D$6:$D$91,MATCH('IEPR Gas Prices Nominal'!$B22,'GDP Deflator'!$B$6:$B$91,0)))</f>
        <v>5.9247683033510299</v>
      </c>
      <c r="I22" s="91">
        <f>'IEPR Gas Prices Real'!I24*(INDEX('GDP Deflator'!$D$6:$D$91,MATCH('IEPR Gas Prices Nominal'!$B22,'GDP Deflator'!$B$6:$B$91,0)))</f>
        <v>5.2807236291253048</v>
      </c>
      <c r="J22" s="91">
        <f>'IEPR Gas Prices Real'!J24*(INDEX('GDP Deflator'!$D$6:$D$91,MATCH('IEPR Gas Prices Nominal'!$B22,'GDP Deflator'!$B$6:$B$91,0)))</f>
        <v>1.500537337120595</v>
      </c>
      <c r="K22" s="91">
        <f>'IEPR Gas Prices Real'!K24*(INDEX('GDP Deflator'!$D$6:$D$91,MATCH('IEPR Gas Prices Nominal'!$B22,'GDP Deflator'!$B$6:$B$91,0)))</f>
        <v>6.7812609662458998</v>
      </c>
      <c r="L22" s="91">
        <f>'IEPR Gas Prices Real'!L24*(INDEX('GDP Deflator'!$D$6:$D$91,MATCH('IEPR Gas Prices Nominal'!$B22,'GDP Deflator'!$B$6:$B$91,0)))</f>
        <v>5.4638630965209822</v>
      </c>
      <c r="M22" s="91">
        <f>'IEPR Gas Prices Real'!M24*(INDEX('GDP Deflator'!$D$6:$D$91,MATCH('IEPR Gas Prices Nominal'!$B22,'GDP Deflator'!$B$6:$B$91,0)))</f>
        <v>0.70863489057899798</v>
      </c>
      <c r="N22" s="91">
        <f>'IEPR Gas Prices Real'!N24*(INDEX('GDP Deflator'!$D$6:$D$91,MATCH('IEPR Gas Prices Nominal'!$B22,'GDP Deflator'!$B$6:$B$91,0)))</f>
        <v>6.1724979870999803</v>
      </c>
      <c r="O22" s="19"/>
      <c r="P22" s="229">
        <f t="shared" si="0"/>
        <v>5.2535407995322911</v>
      </c>
      <c r="Q22" s="229">
        <f t="shared" si="7"/>
        <v>6.29284241889897</v>
      </c>
      <c r="R22" s="144"/>
      <c r="S22" s="146">
        <v>2</v>
      </c>
      <c r="T22" s="230">
        <f t="shared" si="9"/>
        <v>7.1938593413269345</v>
      </c>
      <c r="U22" s="230">
        <f t="shared" si="9"/>
        <v>7.3940830097944952</v>
      </c>
      <c r="V22" s="230">
        <f t="shared" si="9"/>
        <v>7.5991108181066407</v>
      </c>
      <c r="W22" s="230">
        <f t="shared" si="9"/>
        <v>7.8120810086424903</v>
      </c>
      <c r="X22" s="230">
        <f t="shared" si="9"/>
        <v>8.0332897880087994</v>
      </c>
      <c r="Y22" s="230">
        <f t="shared" si="9"/>
        <v>8.2622722655345484</v>
      </c>
      <c r="Z22" s="230">
        <f t="shared" si="9"/>
        <v>8.50189548776771</v>
      </c>
      <c r="AA22" s="230">
        <f t="shared" si="9"/>
        <v>8.7539064851200266</v>
      </c>
      <c r="AB22" s="230">
        <f t="shared" si="9"/>
        <v>9.0161554055471651</v>
      </c>
      <c r="AC22" s="230">
        <f t="shared" si="10"/>
        <v>9.2921226665801644</v>
      </c>
      <c r="AD22" s="230">
        <f t="shared" si="10"/>
        <v>9.5761478029664744</v>
      </c>
      <c r="AE22" s="230">
        <f t="shared" si="10"/>
        <v>9.8745307940061213</v>
      </c>
      <c r="AF22" s="230">
        <f t="shared" si="10"/>
        <v>10.190137372250483</v>
      </c>
      <c r="AG22" s="230">
        <f t="shared" si="10"/>
        <v>10.521300744005949</v>
      </c>
      <c r="AH22" s="230">
        <f t="shared" si="10"/>
        <v>10.868171912937072</v>
      </c>
      <c r="AI22" s="230">
        <f t="shared" si="10"/>
        <v>11.228630665635194</v>
      </c>
      <c r="AJ22" s="230">
        <f t="shared" si="10"/>
        <v>11.604247879123413</v>
      </c>
      <c r="AK22" s="230">
        <f t="shared" si="10"/>
        <v>11.996821842813263</v>
      </c>
      <c r="AL22" s="230">
        <f t="shared" si="10"/>
        <v>12.407403509663723</v>
      </c>
      <c r="AM22" s="230">
        <f t="shared" si="11"/>
        <v>12.835890451154931</v>
      </c>
      <c r="AN22" s="230">
        <f t="shared" si="11"/>
        <v>13.284387122859357</v>
      </c>
      <c r="AO22" s="230">
        <f t="shared" si="11"/>
        <v>13.753994689090023</v>
      </c>
      <c r="AP22" s="230">
        <f t="shared" si="11"/>
        <v>14.246227695520851</v>
      </c>
      <c r="AQ22" s="230">
        <f t="shared" si="11"/>
        <v>14.760972964816895</v>
      </c>
      <c r="AR22" s="230">
        <f t="shared" si="11"/>
        <v>15.29896003867754</v>
      </c>
      <c r="AS22" s="230">
        <f t="shared" si="11"/>
        <v>15.828732984404157</v>
      </c>
      <c r="AT22" s="230">
        <f t="shared" si="11"/>
        <v>16.395442298710897</v>
      </c>
      <c r="AU22" s="230">
        <f t="shared" si="11"/>
        <v>16.980311075067355</v>
      </c>
      <c r="AV22" s="230">
        <f t="shared" si="11"/>
        <v>17.584367453418707</v>
      </c>
      <c r="AW22" s="230">
        <f t="shared" si="11"/>
        <v>18.207879756975974</v>
      </c>
    </row>
    <row r="23" spans="2:49">
      <c r="B23" s="142">
        <f t="shared" si="4"/>
        <v>2023</v>
      </c>
      <c r="C23" s="19">
        <f t="shared" si="5"/>
        <v>6</v>
      </c>
      <c r="D23" s="143">
        <v>45078</v>
      </c>
      <c r="E23" s="19" t="str">
        <f t="shared" si="6"/>
        <v>6-2023</v>
      </c>
      <c r="F23" s="91">
        <f>'IEPR Gas Prices Real'!F25*(INDEX('GDP Deflator'!$D$6:$D$91,MATCH('IEPR Gas Prices Nominal'!$B23,'GDP Deflator'!$B$6:$B$91,0)))</f>
        <v>5.133371617970905</v>
      </c>
      <c r="G23" s="91">
        <f>'IEPR Gas Prices Real'!G25*(INDEX('GDP Deflator'!$D$6:$D$91,MATCH('IEPR Gas Prices Nominal'!$B23,'GDP Deflator'!$B$6:$B$91,0)))</f>
        <v>0.90873263040044228</v>
      </c>
      <c r="H23" s="91">
        <f>'IEPR Gas Prices Real'!H25*(INDEX('GDP Deflator'!$D$6:$D$91,MATCH('IEPR Gas Prices Nominal'!$B23,'GDP Deflator'!$B$6:$B$91,0)))</f>
        <v>6.0421042483713476</v>
      </c>
      <c r="I23" s="91">
        <f>'IEPR Gas Prices Real'!I25*(INDEX('GDP Deflator'!$D$6:$D$91,MATCH('IEPR Gas Prices Nominal'!$B23,'GDP Deflator'!$B$6:$B$91,0)))</f>
        <v>5.4043918372740141</v>
      </c>
      <c r="J23" s="91">
        <f>'IEPR Gas Prices Real'!J25*(INDEX('GDP Deflator'!$D$6:$D$91,MATCH('IEPR Gas Prices Nominal'!$B23,'GDP Deflator'!$B$6:$B$91,0)))</f>
        <v>1.500537337120595</v>
      </c>
      <c r="K23" s="91">
        <f>'IEPR Gas Prices Real'!K25*(INDEX('GDP Deflator'!$D$6:$D$91,MATCH('IEPR Gas Prices Nominal'!$B23,'GDP Deflator'!$B$6:$B$91,0)))</f>
        <v>6.9049291743946091</v>
      </c>
      <c r="L23" s="91">
        <f>'IEPR Gas Prices Real'!L25*(INDEX('GDP Deflator'!$D$6:$D$91,MATCH('IEPR Gas Prices Nominal'!$B23,'GDP Deflator'!$B$6:$B$91,0)))</f>
        <v>5.5922499257521938</v>
      </c>
      <c r="M23" s="91">
        <f>'IEPR Gas Prices Real'!M25*(INDEX('GDP Deflator'!$D$6:$D$91,MATCH('IEPR Gas Prices Nominal'!$B23,'GDP Deflator'!$B$6:$B$91,0)))</f>
        <v>0.70863489057899798</v>
      </c>
      <c r="N23" s="91">
        <f>'IEPR Gas Prices Real'!N25*(INDEX('GDP Deflator'!$D$6:$D$91,MATCH('IEPR Gas Prices Nominal'!$B23,'GDP Deflator'!$B$6:$B$91,0)))</f>
        <v>6.3008848163311919</v>
      </c>
      <c r="O23" s="19"/>
      <c r="P23" s="229">
        <f t="shared" si="0"/>
        <v>5.3766711269990379</v>
      </c>
      <c r="Q23" s="229">
        <f t="shared" si="7"/>
        <v>6.4159727463657168</v>
      </c>
      <c r="R23" s="144"/>
      <c r="S23" s="146">
        <v>3</v>
      </c>
      <c r="T23" s="230">
        <f t="shared" si="9"/>
        <v>6.7065080494331086</v>
      </c>
      <c r="U23" s="230">
        <f t="shared" si="9"/>
        <v>6.8966500261285288</v>
      </c>
      <c r="V23" s="230">
        <f t="shared" si="9"/>
        <v>7.091763041311566</v>
      </c>
      <c r="W23" s="230">
        <f t="shared" si="9"/>
        <v>7.2945079316413315</v>
      </c>
      <c r="X23" s="230">
        <f t="shared" si="9"/>
        <v>7.5051223989858791</v>
      </c>
      <c r="Y23" s="230">
        <f t="shared" si="9"/>
        <v>7.7233999308826187</v>
      </c>
      <c r="Z23" s="230">
        <f t="shared" si="9"/>
        <v>7.9521135247432584</v>
      </c>
      <c r="AA23" s="230">
        <f t="shared" si="9"/>
        <v>8.1924395129920757</v>
      </c>
      <c r="AB23" s="230">
        <f t="shared" si="9"/>
        <v>8.4432436002111846</v>
      </c>
      <c r="AC23" s="230">
        <f t="shared" si="10"/>
        <v>8.7065669972944253</v>
      </c>
      <c r="AD23" s="230">
        <f t="shared" si="10"/>
        <v>8.9784813370054515</v>
      </c>
      <c r="AE23" s="230">
        <f t="shared" si="10"/>
        <v>9.2645065569097067</v>
      </c>
      <c r="AF23" s="230">
        <f t="shared" si="10"/>
        <v>9.5669223467298448</v>
      </c>
      <c r="AG23" s="230">
        <f t="shared" si="10"/>
        <v>9.8844617267595982</v>
      </c>
      <c r="AH23" s="230">
        <f t="shared" si="10"/>
        <v>10.217124378295418</v>
      </c>
      <c r="AI23" s="230">
        <f t="shared" si="10"/>
        <v>10.563370491470003</v>
      </c>
      <c r="AJ23" s="230">
        <f t="shared" si="10"/>
        <v>10.924454727216178</v>
      </c>
      <c r="AK23" s="230">
        <f t="shared" si="10"/>
        <v>11.302148440986096</v>
      </c>
      <c r="AL23" s="230">
        <f t="shared" si="10"/>
        <v>11.697461874726196</v>
      </c>
      <c r="AM23" s="230">
        <f t="shared" si="11"/>
        <v>12.110391149053969</v>
      </c>
      <c r="AN23" s="230">
        <f t="shared" si="11"/>
        <v>12.542913360794238</v>
      </c>
      <c r="AO23" s="230">
        <f t="shared" si="11"/>
        <v>12.996183304048202</v>
      </c>
      <c r="AP23" s="230">
        <f t="shared" si="11"/>
        <v>13.471630431664829</v>
      </c>
      <c r="AQ23" s="230">
        <f t="shared" si="11"/>
        <v>13.969237644345037</v>
      </c>
      <c r="AR23" s="230">
        <f t="shared" si="11"/>
        <v>14.489724221511912</v>
      </c>
      <c r="AS23" s="230">
        <f t="shared" si="11"/>
        <v>15.003377928908003</v>
      </c>
      <c r="AT23" s="230">
        <f t="shared" si="11"/>
        <v>15.552945579827082</v>
      </c>
      <c r="AU23" s="230">
        <f t="shared" si="11"/>
        <v>16.120854061818587</v>
      </c>
      <c r="AV23" s="230">
        <f t="shared" si="11"/>
        <v>16.7078964796608</v>
      </c>
      <c r="AW23" s="230">
        <f t="shared" si="11"/>
        <v>17.314437057778164</v>
      </c>
    </row>
    <row r="24" spans="2:49">
      <c r="B24" s="142">
        <f t="shared" si="4"/>
        <v>2023</v>
      </c>
      <c r="C24" s="19">
        <f t="shared" si="5"/>
        <v>7</v>
      </c>
      <c r="D24" s="143">
        <v>45108</v>
      </c>
      <c r="E24" s="19" t="str">
        <f t="shared" si="6"/>
        <v>7-2023</v>
      </c>
      <c r="F24" s="91">
        <f>'IEPR Gas Prices Real'!F26*(INDEX('GDP Deflator'!$D$6:$D$91,MATCH('IEPR Gas Prices Nominal'!$B24,'GDP Deflator'!$B$6:$B$91,0)))</f>
        <v>5.1616593001181537</v>
      </c>
      <c r="G24" s="91">
        <f>'IEPR Gas Prices Real'!G26*(INDEX('GDP Deflator'!$D$6:$D$91,MATCH('IEPR Gas Prices Nominal'!$B24,'GDP Deflator'!$B$6:$B$91,0)))</f>
        <v>0.90873263040044228</v>
      </c>
      <c r="H24" s="91">
        <f>'IEPR Gas Prices Real'!H26*(INDEX('GDP Deflator'!$D$6:$D$91,MATCH('IEPR Gas Prices Nominal'!$B24,'GDP Deflator'!$B$6:$B$91,0)))</f>
        <v>6.0703919305185954</v>
      </c>
      <c r="I24" s="91">
        <f>'IEPR Gas Prices Real'!I26*(INDEX('GDP Deflator'!$D$6:$D$91,MATCH('IEPR Gas Prices Nominal'!$B24,'GDP Deflator'!$B$6:$B$91,0)))</f>
        <v>5.434315095445859</v>
      </c>
      <c r="J24" s="91">
        <f>'IEPR Gas Prices Real'!J26*(INDEX('GDP Deflator'!$D$6:$D$91,MATCH('IEPR Gas Prices Nominal'!$B24,'GDP Deflator'!$B$6:$B$91,0)))</f>
        <v>1.500537337120595</v>
      </c>
      <c r="K24" s="91">
        <f>'IEPR Gas Prices Real'!K26*(INDEX('GDP Deflator'!$D$6:$D$91,MATCH('IEPR Gas Prices Nominal'!$B24,'GDP Deflator'!$B$6:$B$91,0)))</f>
        <v>6.9348524325664531</v>
      </c>
      <c r="L24" s="91">
        <f>'IEPR Gas Prices Real'!L26*(INDEX('GDP Deflator'!$D$6:$D$91,MATCH('IEPR Gas Prices Nominal'!$B24,'GDP Deflator'!$B$6:$B$91,0)))</f>
        <v>5.623647514050667</v>
      </c>
      <c r="M24" s="91">
        <f>'IEPR Gas Prices Real'!M26*(INDEX('GDP Deflator'!$D$6:$D$91,MATCH('IEPR Gas Prices Nominal'!$B24,'GDP Deflator'!$B$6:$B$91,0)))</f>
        <v>0.70863489057899798</v>
      </c>
      <c r="N24" s="91">
        <f>'IEPR Gas Prices Real'!N26*(INDEX('GDP Deflator'!$D$6:$D$91,MATCH('IEPR Gas Prices Nominal'!$B24,'GDP Deflator'!$B$6:$B$91,0)))</f>
        <v>6.3322824046296651</v>
      </c>
      <c r="O24" s="19"/>
      <c r="P24" s="229">
        <f t="shared" si="0"/>
        <v>5.4065406365382271</v>
      </c>
      <c r="Q24" s="229">
        <f t="shared" si="7"/>
        <v>6.4458422559049042</v>
      </c>
      <c r="R24" s="144"/>
      <c r="S24" s="146">
        <v>4</v>
      </c>
      <c r="T24" s="230">
        <f t="shared" si="9"/>
        <v>6.6135256415216856</v>
      </c>
      <c r="U24" s="230">
        <f t="shared" si="9"/>
        <v>6.8016934377160139</v>
      </c>
      <c r="V24" s="230">
        <f t="shared" si="9"/>
        <v>6.9950144460376604</v>
      </c>
      <c r="W24" s="230">
        <f t="shared" si="9"/>
        <v>7.1958617084477767</v>
      </c>
      <c r="X24" s="230">
        <f t="shared" si="9"/>
        <v>7.4044058021159493</v>
      </c>
      <c r="Y24" s="230">
        <f t="shared" si="9"/>
        <v>7.6206329796705097</v>
      </c>
      <c r="Z24" s="230">
        <f t="shared" si="9"/>
        <v>7.847363577588375</v>
      </c>
      <c r="AA24" s="230">
        <f t="shared" si="9"/>
        <v>8.0853003301099218</v>
      </c>
      <c r="AB24" s="230">
        <f t="shared" si="9"/>
        <v>8.3341238755021578</v>
      </c>
      <c r="AC24" s="230">
        <f t="shared" si="10"/>
        <v>8.5946852385690153</v>
      </c>
      <c r="AD24" s="230">
        <f t="shared" si="10"/>
        <v>8.8643284645595859</v>
      </c>
      <c r="AE24" s="230">
        <f t="shared" si="10"/>
        <v>9.14818890910208</v>
      </c>
      <c r="AF24" s="230">
        <f t="shared" si="10"/>
        <v>9.4481179254167511</v>
      </c>
      <c r="AG24" s="230">
        <f t="shared" si="10"/>
        <v>9.763089878208282</v>
      </c>
      <c r="AH24" s="230">
        <f t="shared" si="10"/>
        <v>10.092928847700042</v>
      </c>
      <c r="AI24" s="230">
        <f t="shared" si="10"/>
        <v>10.436497568609095</v>
      </c>
      <c r="AJ24" s="230">
        <f t="shared" si="10"/>
        <v>10.794822166295139</v>
      </c>
      <c r="AK24" s="230">
        <f t="shared" si="10"/>
        <v>11.169698951915978</v>
      </c>
      <c r="AL24" s="230">
        <f t="shared" si="10"/>
        <v>11.562107571736183</v>
      </c>
      <c r="AM24" s="230">
        <f t="shared" si="11"/>
        <v>11.972095998020478</v>
      </c>
      <c r="AN24" s="230">
        <f t="shared" si="11"/>
        <v>12.401577438271056</v>
      </c>
      <c r="AO24" s="230">
        <f t="shared" si="11"/>
        <v>12.851761239731751</v>
      </c>
      <c r="AP24" s="230">
        <f t="shared" si="11"/>
        <v>13.324022952485498</v>
      </c>
      <c r="AQ24" s="230">
        <f t="shared" si="11"/>
        <v>13.818385586815873</v>
      </c>
      <c r="AR24" s="230">
        <f t="shared" si="11"/>
        <v>14.335545836354164</v>
      </c>
      <c r="AS24" s="230">
        <f t="shared" si="11"/>
        <v>14.846155491785694</v>
      </c>
      <c r="AT24" s="230">
        <f t="shared" si="11"/>
        <v>15.392452921266978</v>
      </c>
      <c r="AU24" s="230">
        <f t="shared" si="11"/>
        <v>15.957217330762859</v>
      </c>
      <c r="AV24" s="230">
        <f t="shared" si="11"/>
        <v>16.541047603343852</v>
      </c>
      <c r="AW24" s="230">
        <f t="shared" si="11"/>
        <v>17.144353223454729</v>
      </c>
    </row>
    <row r="25" spans="2:49">
      <c r="B25" s="142">
        <f t="shared" si="4"/>
        <v>2023</v>
      </c>
      <c r="C25" s="19">
        <f t="shared" si="5"/>
        <v>8</v>
      </c>
      <c r="D25" s="143">
        <v>45139</v>
      </c>
      <c r="E25" s="19" t="str">
        <f t="shared" si="6"/>
        <v>8-2023</v>
      </c>
      <c r="F25" s="91">
        <f>'IEPR Gas Prices Real'!F27*(INDEX('GDP Deflator'!$D$6:$D$91,MATCH('IEPR Gas Prices Nominal'!$B25,'GDP Deflator'!$B$6:$B$91,0)))</f>
        <v>5.1094477096234288</v>
      </c>
      <c r="G25" s="91">
        <f>'IEPR Gas Prices Real'!G27*(INDEX('GDP Deflator'!$D$6:$D$91,MATCH('IEPR Gas Prices Nominal'!$B25,'GDP Deflator'!$B$6:$B$91,0)))</f>
        <v>0.90873263040044228</v>
      </c>
      <c r="H25" s="91">
        <f>'IEPR Gas Prices Real'!H27*(INDEX('GDP Deflator'!$D$6:$D$91,MATCH('IEPR Gas Prices Nominal'!$B25,'GDP Deflator'!$B$6:$B$91,0)))</f>
        <v>6.0181803400238714</v>
      </c>
      <c r="I25" s="91">
        <f>'IEPR Gas Prices Real'!I27*(INDEX('GDP Deflator'!$D$6:$D$91,MATCH('IEPR Gas Prices Nominal'!$B25,'GDP Deflator'!$B$6:$B$91,0)))</f>
        <v>5.3794868777725577</v>
      </c>
      <c r="J25" s="91">
        <f>'IEPR Gas Prices Real'!J27*(INDEX('GDP Deflator'!$D$6:$D$91,MATCH('IEPR Gas Prices Nominal'!$B25,'GDP Deflator'!$B$6:$B$91,0)))</f>
        <v>1.500537337120595</v>
      </c>
      <c r="K25" s="91">
        <f>'IEPR Gas Prices Real'!K27*(INDEX('GDP Deflator'!$D$6:$D$91,MATCH('IEPR Gas Prices Nominal'!$B25,'GDP Deflator'!$B$6:$B$91,0)))</f>
        <v>6.8800242148931519</v>
      </c>
      <c r="L25" s="91">
        <f>'IEPR Gas Prices Real'!L27*(INDEX('GDP Deflator'!$D$6:$D$91,MATCH('IEPR Gas Prices Nominal'!$B25,'GDP Deflator'!$B$6:$B$91,0)))</f>
        <v>5.5673409713832509</v>
      </c>
      <c r="M25" s="91">
        <f>'IEPR Gas Prices Real'!M27*(INDEX('GDP Deflator'!$D$6:$D$91,MATCH('IEPR Gas Prices Nominal'!$B25,'GDP Deflator'!$B$6:$B$91,0)))</f>
        <v>0.70863489057899798</v>
      </c>
      <c r="N25" s="91">
        <f>'IEPR Gas Prices Real'!N27*(INDEX('GDP Deflator'!$D$6:$D$91,MATCH('IEPR Gas Prices Nominal'!$B25,'GDP Deflator'!$B$6:$B$91,0)))</f>
        <v>6.275975861962249</v>
      </c>
      <c r="O25" s="19"/>
      <c r="P25" s="229">
        <f t="shared" si="0"/>
        <v>5.3520918529264128</v>
      </c>
      <c r="Q25" s="229">
        <f t="shared" si="7"/>
        <v>6.3913934722930899</v>
      </c>
      <c r="R25" s="144"/>
      <c r="S25" s="146">
        <v>5</v>
      </c>
      <c r="T25" s="230">
        <f t="shared" si="9"/>
        <v>6.7999128687582022</v>
      </c>
      <c r="U25" s="230">
        <f t="shared" si="9"/>
        <v>6.9918404192650998</v>
      </c>
      <c r="V25" s="230">
        <f t="shared" si="9"/>
        <v>7.1891420581797716</v>
      </c>
      <c r="W25" s="230">
        <f t="shared" si="9"/>
        <v>7.3940008687940955</v>
      </c>
      <c r="X25" s="230">
        <f t="shared" si="9"/>
        <v>7.6065038178533939</v>
      </c>
      <c r="Y25" s="230">
        <f t="shared" si="9"/>
        <v>7.8268100521335642</v>
      </c>
      <c r="Z25" s="230">
        <f t="shared" si="9"/>
        <v>8.0578995141355865</v>
      </c>
      <c r="AA25" s="230">
        <f t="shared" si="9"/>
        <v>8.3000024815445261</v>
      </c>
      <c r="AB25" s="230">
        <f t="shared" si="9"/>
        <v>8.5535876149681638</v>
      </c>
      <c r="AC25" s="230">
        <f t="shared" si="10"/>
        <v>8.8183223423678552</v>
      </c>
      <c r="AD25" s="230">
        <f t="shared" si="10"/>
        <v>9.092672184100417</v>
      </c>
      <c r="AE25" s="230">
        <f t="shared" si="10"/>
        <v>9.3816243304522313</v>
      </c>
      <c r="AF25" s="230">
        <f t="shared" si="10"/>
        <v>9.6866548109190962</v>
      </c>
      <c r="AG25" s="230">
        <f t="shared" si="10"/>
        <v>10.006897689613377</v>
      </c>
      <c r="AH25" s="230">
        <f t="shared" si="10"/>
        <v>10.341957032678266</v>
      </c>
      <c r="AI25" s="230">
        <f t="shared" si="10"/>
        <v>10.691026246500259</v>
      </c>
      <c r="AJ25" s="230">
        <f t="shared" si="10"/>
        <v>11.054933836583373</v>
      </c>
      <c r="AK25" s="230">
        <f t="shared" si="10"/>
        <v>11.435543409887737</v>
      </c>
      <c r="AL25" s="230">
        <f t="shared" si="10"/>
        <v>11.833806948681293</v>
      </c>
      <c r="AM25" s="230">
        <f t="shared" si="11"/>
        <v>12.249797326189615</v>
      </c>
      <c r="AN25" s="230">
        <f t="shared" si="11"/>
        <v>12.685401479292951</v>
      </c>
      <c r="AO25" s="230">
        <f t="shared" si="11"/>
        <v>13.141892182710306</v>
      </c>
      <c r="AP25" s="230">
        <f t="shared" si="11"/>
        <v>13.620606192443375</v>
      </c>
      <c r="AQ25" s="230">
        <f t="shared" si="11"/>
        <v>14.12157101979186</v>
      </c>
      <c r="AR25" s="230">
        <f t="shared" si="11"/>
        <v>14.645448216808353</v>
      </c>
      <c r="AS25" s="230">
        <f t="shared" si="11"/>
        <v>15.162282055975895</v>
      </c>
      <c r="AT25" s="230">
        <f t="shared" si="11"/>
        <v>15.715135796534426</v>
      </c>
      <c r="AU25" s="230">
        <f t="shared" si="11"/>
        <v>16.286560527246724</v>
      </c>
      <c r="AV25" s="230">
        <f t="shared" si="11"/>
        <v>16.876962116243281</v>
      </c>
      <c r="AW25" s="230">
        <f t="shared" si="11"/>
        <v>17.486764434746028</v>
      </c>
    </row>
    <row r="26" spans="2:49">
      <c r="B26" s="142">
        <f t="shared" si="4"/>
        <v>2023</v>
      </c>
      <c r="C26" s="19">
        <f t="shared" si="5"/>
        <v>9</v>
      </c>
      <c r="D26" s="143">
        <v>45170</v>
      </c>
      <c r="E26" s="19" t="str">
        <f t="shared" si="6"/>
        <v>9-2023</v>
      </c>
      <c r="F26" s="91">
        <f>'IEPR Gas Prices Real'!F28*(INDEX('GDP Deflator'!$D$6:$D$91,MATCH('IEPR Gas Prices Nominal'!$B26,'GDP Deflator'!$B$6:$B$91,0)))</f>
        <v>5.1687994599230631</v>
      </c>
      <c r="G26" s="91">
        <f>'IEPR Gas Prices Real'!G28*(INDEX('GDP Deflator'!$D$6:$D$91,MATCH('IEPR Gas Prices Nominal'!$B26,'GDP Deflator'!$B$6:$B$91,0)))</f>
        <v>0.90873263040044228</v>
      </c>
      <c r="H26" s="91">
        <f>'IEPR Gas Prices Real'!H28*(INDEX('GDP Deflator'!$D$6:$D$91,MATCH('IEPR Gas Prices Nominal'!$B26,'GDP Deflator'!$B$6:$B$91,0)))</f>
        <v>6.0775320903235057</v>
      </c>
      <c r="I26" s="91">
        <f>'IEPR Gas Prices Real'!I28*(INDEX('GDP Deflator'!$D$6:$D$91,MATCH('IEPR Gas Prices Nominal'!$B26,'GDP Deflator'!$B$6:$B$91,0)))</f>
        <v>5.4421191316368134</v>
      </c>
      <c r="J26" s="91">
        <f>'IEPR Gas Prices Real'!J28*(INDEX('GDP Deflator'!$D$6:$D$91,MATCH('IEPR Gas Prices Nominal'!$B26,'GDP Deflator'!$B$6:$B$91,0)))</f>
        <v>1.500537337120595</v>
      </c>
      <c r="K26" s="91">
        <f>'IEPR Gas Prices Real'!K28*(INDEX('GDP Deflator'!$D$6:$D$91,MATCH('IEPR Gas Prices Nominal'!$B26,'GDP Deflator'!$B$6:$B$91,0)))</f>
        <v>6.9426564687574084</v>
      </c>
      <c r="L26" s="91">
        <f>'IEPR Gas Prices Real'!L28*(INDEX('GDP Deflator'!$D$6:$D$91,MATCH('IEPR Gas Prices Nominal'!$B26,'GDP Deflator'!$B$6:$B$91,0)))</f>
        <v>5.6325994288121599</v>
      </c>
      <c r="M26" s="91">
        <f>'IEPR Gas Prices Real'!M28*(INDEX('GDP Deflator'!$D$6:$D$91,MATCH('IEPR Gas Prices Nominal'!$B26,'GDP Deflator'!$B$6:$B$91,0)))</f>
        <v>0.70863489057899798</v>
      </c>
      <c r="N26" s="91">
        <f>'IEPR Gas Prices Real'!N28*(INDEX('GDP Deflator'!$D$6:$D$91,MATCH('IEPR Gas Prices Nominal'!$B26,'GDP Deflator'!$B$6:$B$91,0)))</f>
        <v>6.341234319391158</v>
      </c>
      <c r="O26" s="19"/>
      <c r="P26" s="229">
        <f t="shared" si="0"/>
        <v>5.4145060067906785</v>
      </c>
      <c r="Q26" s="229">
        <f t="shared" si="7"/>
        <v>6.4538076261573574</v>
      </c>
      <c r="R26" s="144"/>
      <c r="S26" s="146">
        <v>6</v>
      </c>
      <c r="T26" s="230">
        <f t="shared" si="9"/>
        <v>6.9431295525306211</v>
      </c>
      <c r="U26" s="230">
        <f t="shared" si="9"/>
        <v>7.1379271823038906</v>
      </c>
      <c r="V26" s="230">
        <f t="shared" si="9"/>
        <v>7.3383245316174905</v>
      </c>
      <c r="W26" s="230">
        <f t="shared" si="9"/>
        <v>7.5462855590964901</v>
      </c>
      <c r="X26" s="230">
        <f t="shared" si="9"/>
        <v>7.7618121721492299</v>
      </c>
      <c r="Y26" s="230">
        <f t="shared" si="9"/>
        <v>7.9852497277965107</v>
      </c>
      <c r="Z26" s="230">
        <f t="shared" si="9"/>
        <v>8.2197250881434876</v>
      </c>
      <c r="AA26" s="230">
        <f t="shared" si="9"/>
        <v>8.4649698527481778</v>
      </c>
      <c r="AB26" s="230">
        <f t="shared" si="9"/>
        <v>8.7222892227727939</v>
      </c>
      <c r="AC26" s="230">
        <f t="shared" si="10"/>
        <v>8.9901006259162077</v>
      </c>
      <c r="AD26" s="230">
        <f t="shared" si="10"/>
        <v>9.2680816483311137</v>
      </c>
      <c r="AE26" s="230">
        <f t="shared" si="10"/>
        <v>9.5610179458911873</v>
      </c>
      <c r="AF26" s="230">
        <f t="shared" si="10"/>
        <v>9.8699794285547693</v>
      </c>
      <c r="AG26" s="230">
        <f t="shared" si="10"/>
        <v>10.194284263911607</v>
      </c>
      <c r="AH26" s="230">
        <f t="shared" si="10"/>
        <v>10.533312888725064</v>
      </c>
      <c r="AI26" s="230">
        <f t="shared" si="10"/>
        <v>10.886621326258677</v>
      </c>
      <c r="AJ26" s="230">
        <f t="shared" si="10"/>
        <v>11.254823672905623</v>
      </c>
      <c r="AK26" s="230">
        <f t="shared" si="10"/>
        <v>11.639846437804216</v>
      </c>
      <c r="AL26" s="230">
        <f t="shared" si="10"/>
        <v>12.042611855964511</v>
      </c>
      <c r="AM26" s="230">
        <f t="shared" si="11"/>
        <v>12.463224226356425</v>
      </c>
      <c r="AN26" s="230">
        <f t="shared" si="11"/>
        <v>12.903535574830338</v>
      </c>
      <c r="AO26" s="230">
        <f t="shared" si="11"/>
        <v>13.364883897323274</v>
      </c>
      <c r="AP26" s="230">
        <f t="shared" si="11"/>
        <v>13.848562131081229</v>
      </c>
      <c r="AQ26" s="230">
        <f t="shared" si="11"/>
        <v>14.354609346229504</v>
      </c>
      <c r="AR26" s="230">
        <f t="shared" si="11"/>
        <v>14.883652420380889</v>
      </c>
      <c r="AS26" s="230">
        <f t="shared" si="11"/>
        <v>15.4052804770657</v>
      </c>
      <c r="AT26" s="230">
        <f t="shared" si="11"/>
        <v>15.963172068864035</v>
      </c>
      <c r="AU26" s="230">
        <f t="shared" si="11"/>
        <v>16.539748619513848</v>
      </c>
      <c r="AV26" s="230">
        <f t="shared" si="11"/>
        <v>17.135212128186179</v>
      </c>
      <c r="AW26" s="230">
        <f t="shared" si="11"/>
        <v>17.750007549162774</v>
      </c>
    </row>
    <row r="27" spans="2:49">
      <c r="B27" s="142">
        <f t="shared" si="4"/>
        <v>2023</v>
      </c>
      <c r="C27" s="19">
        <f t="shared" si="5"/>
        <v>10</v>
      </c>
      <c r="D27" s="143">
        <v>45200</v>
      </c>
      <c r="E27" s="19" t="str">
        <f t="shared" si="6"/>
        <v>10-2023</v>
      </c>
      <c r="F27" s="91">
        <f>'IEPR Gas Prices Real'!F29*(INDEX('GDP Deflator'!$D$6:$D$91,MATCH('IEPR Gas Prices Nominal'!$B27,'GDP Deflator'!$B$6:$B$91,0)))</f>
        <v>5.1265682124509668</v>
      </c>
      <c r="G27" s="91">
        <f>'IEPR Gas Prices Real'!G29*(INDEX('GDP Deflator'!$D$6:$D$91,MATCH('IEPR Gas Prices Nominal'!$B27,'GDP Deflator'!$B$6:$B$91,0)))</f>
        <v>0.90873263040044228</v>
      </c>
      <c r="H27" s="91">
        <f>'IEPR Gas Prices Real'!H29*(INDEX('GDP Deflator'!$D$6:$D$91,MATCH('IEPR Gas Prices Nominal'!$B27,'GDP Deflator'!$B$6:$B$91,0)))</f>
        <v>6.0353008428514094</v>
      </c>
      <c r="I27" s="91">
        <f>'IEPR Gas Prices Real'!I29*(INDEX('GDP Deflator'!$D$6:$D$91,MATCH('IEPR Gas Prices Nominal'!$B27,'GDP Deflator'!$B$6:$B$91,0)))</f>
        <v>5.397797985459845</v>
      </c>
      <c r="J27" s="91">
        <f>'IEPR Gas Prices Real'!J29*(INDEX('GDP Deflator'!$D$6:$D$91,MATCH('IEPR Gas Prices Nominal'!$B27,'GDP Deflator'!$B$6:$B$91,0)))</f>
        <v>1.500537337120595</v>
      </c>
      <c r="K27" s="91">
        <f>'IEPR Gas Prices Real'!K29*(INDEX('GDP Deflator'!$D$6:$D$91,MATCH('IEPR Gas Prices Nominal'!$B27,'GDP Deflator'!$B$6:$B$91,0)))</f>
        <v>6.89833532258044</v>
      </c>
      <c r="L27" s="91">
        <f>'IEPR Gas Prices Real'!L29*(INDEX('GDP Deflator'!$D$6:$D$91,MATCH('IEPR Gas Prices Nominal'!$B27,'GDP Deflator'!$B$6:$B$91,0)))</f>
        <v>5.5871646018811578</v>
      </c>
      <c r="M27" s="91">
        <f>'IEPR Gas Prices Real'!M29*(INDEX('GDP Deflator'!$D$6:$D$91,MATCH('IEPR Gas Prices Nominal'!$B27,'GDP Deflator'!$B$6:$B$91,0)))</f>
        <v>0.70863489057899798</v>
      </c>
      <c r="N27" s="91">
        <f>'IEPR Gas Prices Real'!N29*(INDEX('GDP Deflator'!$D$6:$D$91,MATCH('IEPR Gas Prices Nominal'!$B27,'GDP Deflator'!$B$6:$B$91,0)))</f>
        <v>6.2957994924601559</v>
      </c>
      <c r="O27" s="19"/>
      <c r="P27" s="229">
        <f t="shared" si="0"/>
        <v>5.3705102665973241</v>
      </c>
      <c r="Q27" s="229">
        <f t="shared" si="7"/>
        <v>6.4098118859640012</v>
      </c>
      <c r="R27" s="144"/>
      <c r="S27" s="146">
        <v>7</v>
      </c>
      <c r="T27" s="230">
        <f t="shared" si="9"/>
        <v>6.9880812136134791</v>
      </c>
      <c r="U27" s="230">
        <f t="shared" si="9"/>
        <v>7.1837317700191035</v>
      </c>
      <c r="V27" s="230">
        <f t="shared" si="9"/>
        <v>7.3851949765859644</v>
      </c>
      <c r="W27" s="230">
        <f t="shared" si="9"/>
        <v>7.5941800603162868</v>
      </c>
      <c r="X27" s="230">
        <f t="shared" si="9"/>
        <v>7.8106093281828803</v>
      </c>
      <c r="Y27" s="230">
        <f t="shared" si="9"/>
        <v>8.0350222078562332</v>
      </c>
      <c r="Z27" s="230">
        <f t="shared" si="9"/>
        <v>8.270653388794349</v>
      </c>
      <c r="AA27" s="230">
        <f t="shared" si="9"/>
        <v>8.5167331766126075</v>
      </c>
      <c r="AB27" s="230">
        <f t="shared" si="9"/>
        <v>8.7754165500699326</v>
      </c>
      <c r="AC27" s="230">
        <f t="shared" si="10"/>
        <v>9.0438630601091603</v>
      </c>
      <c r="AD27" s="230">
        <f t="shared" si="10"/>
        <v>9.3230211678978563</v>
      </c>
      <c r="AE27" s="230">
        <f t="shared" si="10"/>
        <v>9.6173904067744136</v>
      </c>
      <c r="AF27" s="230">
        <f t="shared" si="10"/>
        <v>9.927613998838531</v>
      </c>
      <c r="AG27" s="230">
        <f t="shared" si="10"/>
        <v>10.253223934975551</v>
      </c>
      <c r="AH27" s="230">
        <f t="shared" si="10"/>
        <v>10.593391753496606</v>
      </c>
      <c r="AI27" s="230">
        <f t="shared" si="10"/>
        <v>10.948063146641081</v>
      </c>
      <c r="AJ27" s="230">
        <f t="shared" si="10"/>
        <v>11.317625906240679</v>
      </c>
      <c r="AK27" s="230">
        <f t="shared" si="10"/>
        <v>11.704054733685268</v>
      </c>
      <c r="AL27" s="230">
        <f t="shared" si="10"/>
        <v>12.108240946944576</v>
      </c>
      <c r="AM27" s="230">
        <f t="shared" si="11"/>
        <v>12.530329950973565</v>
      </c>
      <c r="AN27" s="230">
        <f t="shared" si="11"/>
        <v>12.972125388289777</v>
      </c>
      <c r="AO27" s="230">
        <f t="shared" si="11"/>
        <v>13.435027623688008</v>
      </c>
      <c r="AP27" s="230">
        <f t="shared" si="11"/>
        <v>13.92028023266456</v>
      </c>
      <c r="AQ27" s="230">
        <f t="shared" si="11"/>
        <v>14.427946501293393</v>
      </c>
      <c r="AR27" s="230">
        <f t="shared" si="11"/>
        <v>14.95862292386335</v>
      </c>
      <c r="AS27" s="230">
        <f t="shared" si="11"/>
        <v>15.481785394249906</v>
      </c>
      <c r="AT27" s="230">
        <f t="shared" si="11"/>
        <v>16.041258470243001</v>
      </c>
      <c r="AU27" s="230">
        <f t="shared" si="11"/>
        <v>16.619538816644233</v>
      </c>
      <c r="AV27" s="230">
        <f t="shared" si="11"/>
        <v>17.216623232284718</v>
      </c>
      <c r="AW27" s="230">
        <f t="shared" si="11"/>
        <v>17.832988777508419</v>
      </c>
    </row>
    <row r="28" spans="2:49">
      <c r="B28" s="142">
        <f t="shared" si="4"/>
        <v>2023</v>
      </c>
      <c r="C28" s="19">
        <f t="shared" si="5"/>
        <v>11</v>
      </c>
      <c r="D28" s="143">
        <v>45231</v>
      </c>
      <c r="E28" s="19" t="str">
        <f t="shared" si="6"/>
        <v>11-2023</v>
      </c>
      <c r="F28" s="91">
        <f>'IEPR Gas Prices Real'!F30*(INDEX('GDP Deflator'!$D$6:$D$91,MATCH('IEPR Gas Prices Nominal'!$B28,'GDP Deflator'!$B$6:$B$91,0)))</f>
        <v>5.3668960322795352</v>
      </c>
      <c r="G28" s="91">
        <f>'IEPR Gas Prices Real'!G30*(INDEX('GDP Deflator'!$D$6:$D$91,MATCH('IEPR Gas Prices Nominal'!$B28,'GDP Deflator'!$B$6:$B$91,0)))</f>
        <v>0.90873263040044228</v>
      </c>
      <c r="H28" s="91">
        <f>'IEPR Gas Prices Real'!H30*(INDEX('GDP Deflator'!$D$6:$D$91,MATCH('IEPR Gas Prices Nominal'!$B28,'GDP Deflator'!$B$6:$B$91,0)))</f>
        <v>6.2756286626799778</v>
      </c>
      <c r="I28" s="91">
        <f>'IEPR Gas Prices Real'!I30*(INDEX('GDP Deflator'!$D$6:$D$91,MATCH('IEPR Gas Prices Nominal'!$B28,'GDP Deflator'!$B$6:$B$91,0)))</f>
        <v>5.6509914498845992</v>
      </c>
      <c r="J28" s="91">
        <f>'IEPR Gas Prices Real'!J30*(INDEX('GDP Deflator'!$D$6:$D$91,MATCH('IEPR Gas Prices Nominal'!$B28,'GDP Deflator'!$B$6:$B$91,0)))</f>
        <v>1.500537337120595</v>
      </c>
      <c r="K28" s="91">
        <f>'IEPR Gas Prices Real'!K30*(INDEX('GDP Deflator'!$D$6:$D$91,MATCH('IEPR Gas Prices Nominal'!$B28,'GDP Deflator'!$B$6:$B$91,0)))</f>
        <v>7.1515287870051933</v>
      </c>
      <c r="L28" s="91">
        <f>'IEPR Gas Prices Real'!L30*(INDEX('GDP Deflator'!$D$6:$D$91,MATCH('IEPR Gas Prices Nominal'!$B28,'GDP Deflator'!$B$6:$B$91,0)))</f>
        <v>5.8497010296025218</v>
      </c>
      <c r="M28" s="91">
        <f>'IEPR Gas Prices Real'!M30*(INDEX('GDP Deflator'!$D$6:$D$91,MATCH('IEPR Gas Prices Nominal'!$B28,'GDP Deflator'!$B$6:$B$91,0)))</f>
        <v>0.70863489057899798</v>
      </c>
      <c r="N28" s="91">
        <f>'IEPR Gas Prices Real'!N30*(INDEX('GDP Deflator'!$D$6:$D$91,MATCH('IEPR Gas Prices Nominal'!$B28,'GDP Deflator'!$B$6:$B$91,0)))</f>
        <v>6.5583359201815199</v>
      </c>
      <c r="O28" s="19"/>
      <c r="P28" s="229">
        <f t="shared" si="0"/>
        <v>5.6225295039222187</v>
      </c>
      <c r="Q28" s="229">
        <f t="shared" si="7"/>
        <v>6.6618311232888976</v>
      </c>
      <c r="R28" s="144"/>
      <c r="S28" s="146">
        <v>8</v>
      </c>
      <c r="T28" s="230">
        <f t="shared" si="9"/>
        <v>6.943587852819312</v>
      </c>
      <c r="U28" s="230">
        <f t="shared" si="9"/>
        <v>7.1382583577360732</v>
      </c>
      <c r="V28" s="230">
        <f t="shared" si="9"/>
        <v>7.3389336271419836</v>
      </c>
      <c r="W28" s="230">
        <f t="shared" si="9"/>
        <v>7.5470478567049426</v>
      </c>
      <c r="X28" s="230">
        <f t="shared" si="9"/>
        <v>7.7624521674525182</v>
      </c>
      <c r="Y28" s="230">
        <f t="shared" si="9"/>
        <v>7.9858783793277217</v>
      </c>
      <c r="Z28" s="230">
        <f t="shared" si="9"/>
        <v>8.2206294062943659</v>
      </c>
      <c r="AA28" s="230">
        <f t="shared" si="9"/>
        <v>8.4654543341347619</v>
      </c>
      <c r="AB28" s="230">
        <f t="shared" si="9"/>
        <v>8.7233317229389122</v>
      </c>
      <c r="AC28" s="230">
        <f t="shared" si="10"/>
        <v>8.9902124499807616</v>
      </c>
      <c r="AD28" s="230">
        <f t="shared" si="10"/>
        <v>9.2683113874426883</v>
      </c>
      <c r="AE28" s="230">
        <f t="shared" si="10"/>
        <v>9.5617794657517141</v>
      </c>
      <c r="AF28" s="230">
        <f t="shared" si="10"/>
        <v>9.8708339851427382</v>
      </c>
      <c r="AG28" s="230">
        <f t="shared" si="10"/>
        <v>10.195237649229973</v>
      </c>
      <c r="AH28" s="230">
        <f t="shared" si="10"/>
        <v>10.533975540641572</v>
      </c>
      <c r="AI28" s="230">
        <f t="shared" si="10"/>
        <v>10.887389678153497</v>
      </c>
      <c r="AJ28" s="230">
        <f t="shared" si="10"/>
        <v>11.255641077487248</v>
      </c>
      <c r="AK28" s="230">
        <f t="shared" si="10"/>
        <v>11.640737389788782</v>
      </c>
      <c r="AL28" s="230">
        <f t="shared" si="10"/>
        <v>12.04353935672564</v>
      </c>
      <c r="AM28" s="230">
        <f t="shared" si="11"/>
        <v>12.464240265786819</v>
      </c>
      <c r="AN28" s="230">
        <f t="shared" si="11"/>
        <v>12.904585550638066</v>
      </c>
      <c r="AO28" s="230">
        <f t="shared" si="11"/>
        <v>13.366032619781732</v>
      </c>
      <c r="AP28" s="230">
        <f t="shared" si="11"/>
        <v>13.849772960669318</v>
      </c>
      <c r="AQ28" s="230">
        <f t="shared" si="11"/>
        <v>14.355904255479468</v>
      </c>
      <c r="AR28" s="230">
        <f t="shared" si="11"/>
        <v>14.884997791173047</v>
      </c>
      <c r="AS28" s="230">
        <f t="shared" si="11"/>
        <v>15.406725531799538</v>
      </c>
      <c r="AT28" s="230">
        <f t="shared" si="11"/>
        <v>15.964633943054269</v>
      </c>
      <c r="AU28" s="230">
        <f t="shared" si="11"/>
        <v>16.541473893931755</v>
      </c>
      <c r="AV28" s="230">
        <f t="shared" si="11"/>
        <v>17.137044968187499</v>
      </c>
      <c r="AW28" s="230">
        <f t="shared" si="11"/>
        <v>17.751864705751952</v>
      </c>
    </row>
    <row r="29" spans="2:49">
      <c r="B29" s="142">
        <f t="shared" si="4"/>
        <v>2023</v>
      </c>
      <c r="C29" s="19">
        <f t="shared" si="5"/>
        <v>12</v>
      </c>
      <c r="D29" s="143">
        <v>45261</v>
      </c>
      <c r="E29" s="19" t="str">
        <f t="shared" si="6"/>
        <v>12-2023</v>
      </c>
      <c r="F29" s="91">
        <f>'IEPR Gas Prices Real'!F31*(INDEX('GDP Deflator'!$D$6:$D$91,MATCH('IEPR Gas Prices Nominal'!$B29,'GDP Deflator'!$B$6:$B$91,0)))</f>
        <v>5.3968960881902985</v>
      </c>
      <c r="G29" s="91">
        <f>'IEPR Gas Prices Real'!G31*(INDEX('GDP Deflator'!$D$6:$D$91,MATCH('IEPR Gas Prices Nominal'!$B29,'GDP Deflator'!$B$6:$B$91,0)))</f>
        <v>0.90873263040044228</v>
      </c>
      <c r="H29" s="91">
        <f>'IEPR Gas Prices Real'!H31*(INDEX('GDP Deflator'!$D$6:$D$91,MATCH('IEPR Gas Prices Nominal'!$B29,'GDP Deflator'!$B$6:$B$91,0)))</f>
        <v>6.3056287185907403</v>
      </c>
      <c r="I29" s="91">
        <f>'IEPR Gas Prices Real'!I31*(INDEX('GDP Deflator'!$D$6:$D$91,MATCH('IEPR Gas Prices Nominal'!$B29,'GDP Deflator'!$B$6:$B$91,0)))</f>
        <v>5.6827318407707663</v>
      </c>
      <c r="J29" s="91">
        <f>'IEPR Gas Prices Real'!J31*(INDEX('GDP Deflator'!$D$6:$D$91,MATCH('IEPR Gas Prices Nominal'!$B29,'GDP Deflator'!$B$6:$B$91,0)))</f>
        <v>1.500537337120595</v>
      </c>
      <c r="K29" s="91">
        <f>'IEPR Gas Prices Real'!K31*(INDEX('GDP Deflator'!$D$6:$D$91,MATCH('IEPR Gas Prices Nominal'!$B29,'GDP Deflator'!$B$6:$B$91,0)))</f>
        <v>7.1832691778913604</v>
      </c>
      <c r="L29" s="91">
        <f>'IEPR Gas Prices Real'!L31*(INDEX('GDP Deflator'!$D$6:$D$91,MATCH('IEPR Gas Prices Nominal'!$B29,'GDP Deflator'!$B$6:$B$91,0)))</f>
        <v>5.8830227681840128</v>
      </c>
      <c r="M29" s="91">
        <f>'IEPR Gas Prices Real'!M31*(INDEX('GDP Deflator'!$D$6:$D$91,MATCH('IEPR Gas Prices Nominal'!$B29,'GDP Deflator'!$B$6:$B$91,0)))</f>
        <v>0.70863489057899798</v>
      </c>
      <c r="N29" s="91">
        <f>'IEPR Gas Prices Real'!N31*(INDEX('GDP Deflator'!$D$6:$D$91,MATCH('IEPR Gas Prices Nominal'!$B29,'GDP Deflator'!$B$6:$B$91,0)))</f>
        <v>6.5916576587630109</v>
      </c>
      <c r="O29" s="19"/>
      <c r="P29" s="229">
        <f t="shared" si="0"/>
        <v>5.6542168990483601</v>
      </c>
      <c r="Q29" s="229">
        <f t="shared" si="7"/>
        <v>6.6935185184150372</v>
      </c>
      <c r="R29" s="144"/>
      <c r="S29" s="146">
        <v>9</v>
      </c>
      <c r="T29" s="230">
        <f t="shared" si="9"/>
        <v>7.0234415770874383</v>
      </c>
      <c r="U29" s="230">
        <f t="shared" si="9"/>
        <v>7.2196783010985515</v>
      </c>
      <c r="V29" s="230">
        <f t="shared" si="9"/>
        <v>7.4221466217172507</v>
      </c>
      <c r="W29" s="230">
        <f t="shared" si="9"/>
        <v>7.6320263623934261</v>
      </c>
      <c r="X29" s="230">
        <f t="shared" si="9"/>
        <v>7.8490836090839267</v>
      </c>
      <c r="Y29" s="230">
        <f t="shared" si="9"/>
        <v>8.0742504223495253</v>
      </c>
      <c r="Z29" s="230">
        <f t="shared" si="9"/>
        <v>8.3109555063342864</v>
      </c>
      <c r="AA29" s="230">
        <f t="shared" si="9"/>
        <v>8.5574247999271602</v>
      </c>
      <c r="AB29" s="230">
        <f t="shared" si="9"/>
        <v>8.817520741212368</v>
      </c>
      <c r="AC29" s="230">
        <f t="shared" si="10"/>
        <v>9.0858819350102937</v>
      </c>
      <c r="AD29" s="230">
        <f t="shared" si="10"/>
        <v>9.3660320794486385</v>
      </c>
      <c r="AE29" s="230">
        <f t="shared" si="10"/>
        <v>9.661851300015357</v>
      </c>
      <c r="AF29" s="230">
        <f t="shared" si="10"/>
        <v>9.9731177427324766</v>
      </c>
      <c r="AG29" s="230">
        <f t="shared" si="10"/>
        <v>10.299807689303982</v>
      </c>
      <c r="AH29" s="230">
        <f t="shared" si="10"/>
        <v>10.640682926161682</v>
      </c>
      <c r="AI29" s="230">
        <f t="shared" si="10"/>
        <v>10.996483760587131</v>
      </c>
      <c r="AJ29" s="230">
        <f t="shared" si="10"/>
        <v>11.367138621835243</v>
      </c>
      <c r="AK29" s="230">
        <f t="shared" si="10"/>
        <v>11.754710457885677</v>
      </c>
      <c r="AL29" s="230">
        <f t="shared" si="10"/>
        <v>12.160028082866418</v>
      </c>
      <c r="AM29" s="230">
        <f t="shared" si="11"/>
        <v>12.583324516437839</v>
      </c>
      <c r="AN29" s="230">
        <f t="shared" si="11"/>
        <v>13.026299121032366</v>
      </c>
      <c r="AO29" s="230">
        <f t="shared" si="11"/>
        <v>13.490475455656629</v>
      </c>
      <c r="AP29" s="230">
        <f t="shared" si="11"/>
        <v>13.976995261851611</v>
      </c>
      <c r="AQ29" s="230">
        <f t="shared" si="11"/>
        <v>14.485977302569212</v>
      </c>
      <c r="AR29" s="230">
        <f t="shared" si="11"/>
        <v>15.017959668786547</v>
      </c>
      <c r="AS29" s="230">
        <f t="shared" si="11"/>
        <v>15.542381608801989</v>
      </c>
      <c r="AT29" s="230">
        <f t="shared" si="11"/>
        <v>16.103099163197616</v>
      </c>
      <c r="AU29" s="230">
        <f t="shared" si="11"/>
        <v>16.682873323955487</v>
      </c>
      <c r="AV29" s="230">
        <f t="shared" si="11"/>
        <v>17.281289616336952</v>
      </c>
      <c r="AW29" s="230">
        <f t="shared" si="11"/>
        <v>17.898895455403203</v>
      </c>
    </row>
    <row r="30" spans="2:49">
      <c r="B30" s="142">
        <f t="shared" si="4"/>
        <v>2024</v>
      </c>
      <c r="C30" s="19">
        <f t="shared" si="5"/>
        <v>1</v>
      </c>
      <c r="D30" s="143">
        <v>45292</v>
      </c>
      <c r="E30" s="19" t="str">
        <f t="shared" si="6"/>
        <v>1-2024</v>
      </c>
      <c r="F30" s="91">
        <f>'IEPR Gas Prices Real'!F32*(INDEX('GDP Deflator'!$D$6:$D$91,MATCH('IEPR Gas Prices Nominal'!$B30,'GDP Deflator'!$B$6:$B$91,0)))</f>
        <v>5.5252827027919365</v>
      </c>
      <c r="G30" s="91">
        <f>'IEPR Gas Prices Real'!G32*(INDEX('GDP Deflator'!$D$6:$D$91,MATCH('IEPR Gas Prices Nominal'!$B30,'GDP Deflator'!$B$6:$B$91,0)))</f>
        <v>0.96712376363406272</v>
      </c>
      <c r="H30" s="91">
        <f>'IEPR Gas Prices Real'!H32*(INDEX('GDP Deflator'!$D$6:$D$91,MATCH('IEPR Gas Prices Nominal'!$B30,'GDP Deflator'!$B$6:$B$91,0)))</f>
        <v>6.4924064664259982</v>
      </c>
      <c r="I30" s="91">
        <f>'IEPR Gas Prices Real'!I32*(INDEX('GDP Deflator'!$D$6:$D$91,MATCH('IEPR Gas Prices Nominal'!$B30,'GDP Deflator'!$B$6:$B$91,0)))</f>
        <v>5.8168268388533138</v>
      </c>
      <c r="J30" s="91">
        <f>'IEPR Gas Prices Real'!J32*(INDEX('GDP Deflator'!$D$6:$D$91,MATCH('IEPR Gas Prices Nominal'!$B30,'GDP Deflator'!$B$6:$B$91,0)))</f>
        <v>1.5969552191715795</v>
      </c>
      <c r="K30" s="91">
        <f>'IEPR Gas Prices Real'!K32*(INDEX('GDP Deflator'!$D$6:$D$91,MATCH('IEPR Gas Prices Nominal'!$B30,'GDP Deflator'!$B$6:$B$91,0)))</f>
        <v>7.4137820580248928</v>
      </c>
      <c r="L30" s="91">
        <f>'IEPR Gas Prices Real'!L32*(INDEX('GDP Deflator'!$D$6:$D$91,MATCH('IEPR Gas Prices Nominal'!$B30,'GDP Deflator'!$B$6:$B$91,0)))</f>
        <v>6.0219407657347555</v>
      </c>
      <c r="M30" s="91">
        <f>'IEPR Gas Prices Real'!M32*(INDEX('GDP Deflator'!$D$6:$D$91,MATCH('IEPR Gas Prices Nominal'!$B30,'GDP Deflator'!$B$6:$B$91,0)))</f>
        <v>0.75416862946494156</v>
      </c>
      <c r="N30" s="91">
        <f>'IEPR Gas Prices Real'!N32*(INDEX('GDP Deflator'!$D$6:$D$91,MATCH('IEPR Gas Prices Nominal'!$B30,'GDP Deflator'!$B$6:$B$91,0)))</f>
        <v>6.7761093951996969</v>
      </c>
      <c r="O30" s="19"/>
      <c r="P30" s="229">
        <f t="shared" si="0"/>
        <v>5.788016769126668</v>
      </c>
      <c r="Q30" s="229">
        <f t="shared" si="7"/>
        <v>6.8940993065501956</v>
      </c>
      <c r="R30" s="144"/>
      <c r="S30" s="146">
        <v>10</v>
      </c>
      <c r="T30" s="230">
        <f t="shared" si="9"/>
        <v>6.9899934671981185</v>
      </c>
      <c r="U30" s="230">
        <f t="shared" si="9"/>
        <v>7.1854767108360136</v>
      </c>
      <c r="V30" s="230">
        <f t="shared" si="9"/>
        <v>7.3873855741783174</v>
      </c>
      <c r="W30" s="230">
        <f t="shared" si="9"/>
        <v>7.5966282220044006</v>
      </c>
      <c r="X30" s="230">
        <f t="shared" si="9"/>
        <v>7.8128987615990821</v>
      </c>
      <c r="Y30" s="230">
        <f t="shared" si="9"/>
        <v>8.0373212214977379</v>
      </c>
      <c r="Z30" s="230">
        <f t="shared" si="9"/>
        <v>8.2733971333890093</v>
      </c>
      <c r="AA30" s="230">
        <f t="shared" si="9"/>
        <v>8.5188703429319172</v>
      </c>
      <c r="AB30" s="230">
        <f t="shared" si="9"/>
        <v>8.7784273699943096</v>
      </c>
      <c r="AC30" s="230">
        <f t="shared" si="10"/>
        <v>9.0454961003075098</v>
      </c>
      <c r="AD30" s="230">
        <f t="shared" si="10"/>
        <v>9.3248630477890284</v>
      </c>
      <c r="AE30" s="230">
        <f t="shared" si="10"/>
        <v>9.6200684883069716</v>
      </c>
      <c r="AF30" s="230">
        <f t="shared" si="10"/>
        <v>9.9304659447816963</v>
      </c>
      <c r="AG30" s="230">
        <f t="shared" si="10"/>
        <v>10.256259599414356</v>
      </c>
      <c r="AH30" s="230">
        <f t="shared" si="10"/>
        <v>10.596022657486424</v>
      </c>
      <c r="AI30" s="230">
        <f t="shared" si="10"/>
        <v>10.950889646144988</v>
      </c>
      <c r="AJ30" s="230">
        <f t="shared" si="10"/>
        <v>11.320563017206126</v>
      </c>
      <c r="AK30" s="230">
        <f t="shared" si="10"/>
        <v>11.707140418170709</v>
      </c>
      <c r="AL30" s="230">
        <f t="shared" si="10"/>
        <v>12.111420145279318</v>
      </c>
      <c r="AM30" s="230">
        <f t="shared" si="11"/>
        <v>12.533682118429837</v>
      </c>
      <c r="AN30" s="230">
        <f t="shared" si="11"/>
        <v>12.975568878799947</v>
      </c>
      <c r="AO30" s="230">
        <f t="shared" si="11"/>
        <v>13.438661491585021</v>
      </c>
      <c r="AP30" s="230">
        <f t="shared" si="11"/>
        <v>13.924050112756824</v>
      </c>
      <c r="AQ30" s="230">
        <f t="shared" si="11"/>
        <v>14.431886548389565</v>
      </c>
      <c r="AR30" s="230">
        <f t="shared" si="11"/>
        <v>14.962683133771364</v>
      </c>
      <c r="AS30" s="230">
        <f t="shared" si="11"/>
        <v>15.486036855057186</v>
      </c>
      <c r="AT30" s="230">
        <f t="shared" si="11"/>
        <v>16.04557825042917</v>
      </c>
      <c r="AU30" s="230">
        <f t="shared" si="11"/>
        <v>16.624299876647925</v>
      </c>
      <c r="AV30" s="230">
        <f t="shared" si="11"/>
        <v>17.221589715399023</v>
      </c>
      <c r="AW30" s="230">
        <f t="shared" si="11"/>
        <v>17.838034508621426</v>
      </c>
    </row>
    <row r="31" spans="2:49">
      <c r="B31" s="142">
        <f t="shared" si="4"/>
        <v>2024</v>
      </c>
      <c r="C31" s="19">
        <f t="shared" si="5"/>
        <v>2</v>
      </c>
      <c r="D31" s="143">
        <v>45323</v>
      </c>
      <c r="E31" s="19" t="str">
        <f t="shared" si="6"/>
        <v>2-2024</v>
      </c>
      <c r="F31" s="91">
        <f>'IEPR Gas Prices Real'!F33*(INDEX('GDP Deflator'!$D$6:$D$91,MATCH('IEPR Gas Prices Nominal'!$B31,'GDP Deflator'!$B$6:$B$91,0)))</f>
        <v>5.4062867321569712</v>
      </c>
      <c r="G31" s="91">
        <f>'IEPR Gas Prices Real'!G33*(INDEX('GDP Deflator'!$D$6:$D$91,MATCH('IEPR Gas Prices Nominal'!$B31,'GDP Deflator'!$B$6:$B$91,0)))</f>
        <v>0.96712376363406272</v>
      </c>
      <c r="H31" s="91">
        <f>'IEPR Gas Prices Real'!H33*(INDEX('GDP Deflator'!$D$6:$D$91,MATCH('IEPR Gas Prices Nominal'!$B31,'GDP Deflator'!$B$6:$B$91,0)))</f>
        <v>6.3734104957910329</v>
      </c>
      <c r="I31" s="91">
        <f>'IEPR Gas Prices Real'!I33*(INDEX('GDP Deflator'!$D$6:$D$91,MATCH('IEPR Gas Prices Nominal'!$B31,'GDP Deflator'!$B$6:$B$91,0)))</f>
        <v>5.6904848974480089</v>
      </c>
      <c r="J31" s="91">
        <f>'IEPR Gas Prices Real'!J33*(INDEX('GDP Deflator'!$D$6:$D$91,MATCH('IEPR Gas Prices Nominal'!$B31,'GDP Deflator'!$B$6:$B$91,0)))</f>
        <v>1.5969552191715795</v>
      </c>
      <c r="K31" s="91">
        <f>'IEPR Gas Prices Real'!K33*(INDEX('GDP Deflator'!$D$6:$D$91,MATCH('IEPR Gas Prices Nominal'!$B31,'GDP Deflator'!$B$6:$B$91,0)))</f>
        <v>7.2874401166195879</v>
      </c>
      <c r="L31" s="91">
        <f>'IEPR Gas Prices Real'!L33*(INDEX('GDP Deflator'!$D$6:$D$91,MATCH('IEPR Gas Prices Nominal'!$B31,'GDP Deflator'!$B$6:$B$91,0)))</f>
        <v>5.8912383497880318</v>
      </c>
      <c r="M31" s="91">
        <f>'IEPR Gas Prices Real'!M33*(INDEX('GDP Deflator'!$D$6:$D$91,MATCH('IEPR Gas Prices Nominal'!$B31,'GDP Deflator'!$B$6:$B$91,0)))</f>
        <v>0.75416862946494156</v>
      </c>
      <c r="N31" s="91">
        <f>'IEPR Gas Prices Real'!N33*(INDEX('GDP Deflator'!$D$6:$D$91,MATCH('IEPR Gas Prices Nominal'!$B31,'GDP Deflator'!$B$6:$B$91,0)))</f>
        <v>6.6454069792529742</v>
      </c>
      <c r="O31" s="19"/>
      <c r="P31" s="229">
        <f t="shared" si="0"/>
        <v>5.6626699931310043</v>
      </c>
      <c r="Q31" s="229">
        <f t="shared" si="7"/>
        <v>6.768752530554532</v>
      </c>
      <c r="R31" s="144"/>
      <c r="S31" s="146">
        <v>11</v>
      </c>
      <c r="T31" s="230">
        <f t="shared" si="9"/>
        <v>7.2733707268574719</v>
      </c>
      <c r="U31" s="230">
        <f t="shared" si="9"/>
        <v>7.4745786570927608</v>
      </c>
      <c r="V31" s="230">
        <f t="shared" si="9"/>
        <v>7.6825228823673335</v>
      </c>
      <c r="W31" s="230">
        <f t="shared" si="9"/>
        <v>7.8978556536810061</v>
      </c>
      <c r="X31" s="230">
        <f t="shared" si="9"/>
        <v>8.1201533175951095</v>
      </c>
      <c r="Y31" s="230">
        <f t="shared" si="9"/>
        <v>8.3507787749173144</v>
      </c>
      <c r="Z31" s="230">
        <f t="shared" si="9"/>
        <v>8.5934653008474253</v>
      </c>
      <c r="AA31" s="230">
        <f t="shared" si="9"/>
        <v>8.845299419676806</v>
      </c>
      <c r="AB31" s="230">
        <f t="shared" si="9"/>
        <v>9.1120618641676625</v>
      </c>
      <c r="AC31" s="230">
        <f t="shared" si="10"/>
        <v>9.3855341210471348</v>
      </c>
      <c r="AD31" s="230">
        <f t="shared" si="10"/>
        <v>9.6720502499148964</v>
      </c>
      <c r="AE31" s="230">
        <f t="shared" si="10"/>
        <v>9.9749646834548269</v>
      </c>
      <c r="AF31" s="230">
        <f t="shared" si="10"/>
        <v>10.293113242793748</v>
      </c>
      <c r="AG31" s="230">
        <f t="shared" si="10"/>
        <v>10.626915310537258</v>
      </c>
      <c r="AH31" s="230">
        <f t="shared" si="10"/>
        <v>10.974634125384782</v>
      </c>
      <c r="AI31" s="230">
        <f t="shared" si="10"/>
        <v>11.337858161655481</v>
      </c>
      <c r="AJ31" s="230">
        <f t="shared" si="10"/>
        <v>11.71601754292562</v>
      </c>
      <c r="AK31" s="230">
        <f t="shared" si="10"/>
        <v>12.11130719877859</v>
      </c>
      <c r="AL31" s="230">
        <f t="shared" si="10"/>
        <v>12.524487183298186</v>
      </c>
      <c r="AM31" s="230">
        <f t="shared" si="11"/>
        <v>12.955869748581321</v>
      </c>
      <c r="AN31" s="230">
        <f t="shared" si="11"/>
        <v>13.407064114997469</v>
      </c>
      <c r="AO31" s="230">
        <f t="shared" si="11"/>
        <v>13.879740369605663</v>
      </c>
      <c r="AP31" s="230">
        <f t="shared" si="11"/>
        <v>14.374935985806667</v>
      </c>
      <c r="AQ31" s="230">
        <f t="shared" si="11"/>
        <v>14.892805971086595</v>
      </c>
      <c r="AR31" s="230">
        <f t="shared" si="11"/>
        <v>15.433812681928266</v>
      </c>
      <c r="AS31" s="230">
        <f t="shared" si="11"/>
        <v>15.966624211975926</v>
      </c>
      <c r="AT31" s="230">
        <f t="shared" si="11"/>
        <v>16.536133572451757</v>
      </c>
      <c r="AU31" s="230">
        <f t="shared" si="11"/>
        <v>17.124965989502083</v>
      </c>
      <c r="AV31" s="230">
        <f t="shared" si="11"/>
        <v>17.73224096982414</v>
      </c>
      <c r="AW31" s="230">
        <f t="shared" si="11"/>
        <v>18.358562619881681</v>
      </c>
    </row>
    <row r="32" spans="2:49">
      <c r="B32" s="142">
        <f t="shared" si="4"/>
        <v>2024</v>
      </c>
      <c r="C32" s="19">
        <f t="shared" si="5"/>
        <v>3</v>
      </c>
      <c r="D32" s="143">
        <v>45352</v>
      </c>
      <c r="E32" s="19" t="str">
        <f t="shared" si="6"/>
        <v>3-2024</v>
      </c>
      <c r="F32" s="91">
        <f>'IEPR Gas Prices Real'!F34*(INDEX('GDP Deflator'!$D$6:$D$91,MATCH('IEPR Gas Prices Nominal'!$B32,'GDP Deflator'!$B$6:$B$91,0)))</f>
        <v>4.964955584712472</v>
      </c>
      <c r="G32" s="91">
        <f>'IEPR Gas Prices Real'!G34*(INDEX('GDP Deflator'!$D$6:$D$91,MATCH('IEPR Gas Prices Nominal'!$B32,'GDP Deflator'!$B$6:$B$91,0)))</f>
        <v>0.96712376363406272</v>
      </c>
      <c r="H32" s="91">
        <f>'IEPR Gas Prices Real'!H34*(INDEX('GDP Deflator'!$D$6:$D$91,MATCH('IEPR Gas Prices Nominal'!$B32,'GDP Deflator'!$B$6:$B$91,0)))</f>
        <v>5.9320793483465346</v>
      </c>
      <c r="I32" s="91">
        <f>'IEPR Gas Prices Real'!I34*(INDEX('GDP Deflator'!$D$6:$D$91,MATCH('IEPR Gas Prices Nominal'!$B32,'GDP Deflator'!$B$6:$B$91,0)))</f>
        <v>5.224974528272214</v>
      </c>
      <c r="J32" s="91">
        <f>'IEPR Gas Prices Real'!J34*(INDEX('GDP Deflator'!$D$6:$D$91,MATCH('IEPR Gas Prices Nominal'!$B32,'GDP Deflator'!$B$6:$B$91,0)))</f>
        <v>1.5969552191715795</v>
      </c>
      <c r="K32" s="91">
        <f>'IEPR Gas Prices Real'!K34*(INDEX('GDP Deflator'!$D$6:$D$91,MATCH('IEPR Gas Prices Nominal'!$B32,'GDP Deflator'!$B$6:$B$91,0)))</f>
        <v>6.8219297474437939</v>
      </c>
      <c r="L32" s="91">
        <f>'IEPR Gas Prices Real'!L34*(INDEX('GDP Deflator'!$D$6:$D$91,MATCH('IEPR Gas Prices Nominal'!$B32,'GDP Deflator'!$B$6:$B$91,0)))</f>
        <v>5.409392182557597</v>
      </c>
      <c r="M32" s="91">
        <f>'IEPR Gas Prices Real'!M34*(INDEX('GDP Deflator'!$D$6:$D$91,MATCH('IEPR Gas Prices Nominal'!$B32,'GDP Deflator'!$B$6:$B$91,0)))</f>
        <v>0.75416862946494156</v>
      </c>
      <c r="N32" s="91">
        <f>'IEPR Gas Prices Real'!N34*(INDEX('GDP Deflator'!$D$6:$D$91,MATCH('IEPR Gas Prices Nominal'!$B32,'GDP Deflator'!$B$6:$B$91,0)))</f>
        <v>6.1635608120225385</v>
      </c>
      <c r="O32" s="19"/>
      <c r="P32" s="229">
        <f t="shared" si="0"/>
        <v>5.1997740985140943</v>
      </c>
      <c r="Q32" s="229">
        <f t="shared" si="7"/>
        <v>6.3058566359376229</v>
      </c>
      <c r="R32" s="144"/>
      <c r="S32" s="149">
        <v>12</v>
      </c>
      <c r="T32" s="230">
        <f t="shared" si="9"/>
        <v>7.3215935992658876</v>
      </c>
      <c r="U32" s="230">
        <f t="shared" si="9"/>
        <v>7.5237145832328656</v>
      </c>
      <c r="V32" s="230">
        <f t="shared" si="9"/>
        <v>7.7328060482037388</v>
      </c>
      <c r="W32" s="230">
        <f t="shared" si="9"/>
        <v>7.9492394392426329</v>
      </c>
      <c r="X32" s="230">
        <f t="shared" si="9"/>
        <v>8.1725035655777454</v>
      </c>
      <c r="Y32" s="230">
        <f t="shared" si="9"/>
        <v>8.404175018613385</v>
      </c>
      <c r="Z32" s="230">
        <f t="shared" si="9"/>
        <v>8.6481052490355559</v>
      </c>
      <c r="AA32" s="230">
        <f t="shared" si="9"/>
        <v>8.9008290329361817</v>
      </c>
      <c r="AB32" s="230">
        <f t="shared" si="9"/>
        <v>9.1690625211173558</v>
      </c>
      <c r="AC32" s="230">
        <f t="shared" si="10"/>
        <v>9.4432027040097992</v>
      </c>
      <c r="AD32" s="230">
        <f t="shared" si="10"/>
        <v>9.7309830911075768</v>
      </c>
      <c r="AE32" s="230">
        <f t="shared" si="10"/>
        <v>10.035442137770792</v>
      </c>
      <c r="AF32" s="230">
        <f t="shared" si="10"/>
        <v>10.354945798627915</v>
      </c>
      <c r="AG32" s="230">
        <f t="shared" si="10"/>
        <v>10.69014916437073</v>
      </c>
      <c r="AH32" s="230">
        <f t="shared" si="10"/>
        <v>11.039085751295376</v>
      </c>
      <c r="AI32" s="230">
        <f t="shared" si="10"/>
        <v>11.403773240400648</v>
      </c>
      <c r="AJ32" s="230">
        <f t="shared" si="10"/>
        <v>11.783392537281108</v>
      </c>
      <c r="AK32" s="230">
        <f t="shared" si="10"/>
        <v>12.180191423892785</v>
      </c>
      <c r="AL32" s="230">
        <f t="shared" si="10"/>
        <v>12.594895912710124</v>
      </c>
      <c r="AM32" s="230">
        <f t="shared" si="11"/>
        <v>13.027863619472912</v>
      </c>
      <c r="AN32" s="230">
        <f t="shared" si="11"/>
        <v>13.48065034335059</v>
      </c>
      <c r="AO32" s="230">
        <f t="shared" si="11"/>
        <v>13.9549947771365</v>
      </c>
      <c r="AP32" s="230">
        <f t="shared" si="11"/>
        <v>14.451879997078288</v>
      </c>
      <c r="AQ32" s="230">
        <f t="shared" si="11"/>
        <v>14.971487823311689</v>
      </c>
      <c r="AR32" s="230">
        <f t="shared" si="11"/>
        <v>15.514247227580739</v>
      </c>
      <c r="AS32" s="230">
        <f t="shared" si="11"/>
        <v>16.048706034854344</v>
      </c>
      <c r="AT32" s="230">
        <f t="shared" si="11"/>
        <v>16.619911976852368</v>
      </c>
      <c r="AU32" s="230">
        <f t="shared" si="11"/>
        <v>17.210575695417131</v>
      </c>
      <c r="AV32" s="230">
        <f t="shared" si="11"/>
        <v>17.819590840576755</v>
      </c>
      <c r="AW32" s="230">
        <f t="shared" si="11"/>
        <v>18.447596994370091</v>
      </c>
    </row>
    <row r="33" spans="2:18">
      <c r="B33" s="142">
        <f t="shared" si="4"/>
        <v>2024</v>
      </c>
      <c r="C33" s="19">
        <f t="shared" si="5"/>
        <v>4</v>
      </c>
      <c r="D33" s="143">
        <v>45383</v>
      </c>
      <c r="E33" s="19" t="str">
        <f t="shared" si="6"/>
        <v>4-2024</v>
      </c>
      <c r="F33" s="91">
        <f>'IEPR Gas Prices Real'!F35*(INDEX('GDP Deflator'!$D$6:$D$91,MATCH('IEPR Gas Prices Nominal'!$B33,'GDP Deflator'!$B$6:$B$91,0)))</f>
        <v>4.8824111955281078</v>
      </c>
      <c r="G33" s="91">
        <f>'IEPR Gas Prices Real'!G35*(INDEX('GDP Deflator'!$D$6:$D$91,MATCH('IEPR Gas Prices Nominal'!$B33,'GDP Deflator'!$B$6:$B$91,0)))</f>
        <v>0.96712376363406272</v>
      </c>
      <c r="H33" s="91">
        <f>'IEPR Gas Prices Real'!H35*(INDEX('GDP Deflator'!$D$6:$D$91,MATCH('IEPR Gas Prices Nominal'!$B33,'GDP Deflator'!$B$6:$B$91,0)))</f>
        <v>5.8495349591621704</v>
      </c>
      <c r="I33" s="91">
        <f>'IEPR Gas Prices Real'!I35*(INDEX('GDP Deflator'!$D$6:$D$91,MATCH('IEPR Gas Prices Nominal'!$B33,'GDP Deflator'!$B$6:$B$91,0)))</f>
        <v>5.1371448977328917</v>
      </c>
      <c r="J33" s="91">
        <f>'IEPR Gas Prices Real'!J35*(INDEX('GDP Deflator'!$D$6:$D$91,MATCH('IEPR Gas Prices Nominal'!$B33,'GDP Deflator'!$B$6:$B$91,0)))</f>
        <v>1.5969552191715795</v>
      </c>
      <c r="K33" s="91">
        <f>'IEPR Gas Prices Real'!K35*(INDEX('GDP Deflator'!$D$6:$D$91,MATCH('IEPR Gas Prices Nominal'!$B33,'GDP Deflator'!$B$6:$B$91,0)))</f>
        <v>6.7341001169044716</v>
      </c>
      <c r="L33" s="91">
        <f>'IEPR Gas Prices Real'!L35*(INDEX('GDP Deflator'!$D$6:$D$91,MATCH('IEPR Gas Prices Nominal'!$B33,'GDP Deflator'!$B$6:$B$91,0)))</f>
        <v>5.3185479270823972</v>
      </c>
      <c r="M33" s="91">
        <f>'IEPR Gas Prices Real'!M35*(INDEX('GDP Deflator'!$D$6:$D$91,MATCH('IEPR Gas Prices Nominal'!$B33,'GDP Deflator'!$B$6:$B$91,0)))</f>
        <v>0.75416862946494156</v>
      </c>
      <c r="N33" s="91">
        <f>'IEPR Gas Prices Real'!N35*(INDEX('GDP Deflator'!$D$6:$D$91,MATCH('IEPR Gas Prices Nominal'!$B33,'GDP Deflator'!$B$6:$B$91,0)))</f>
        <v>6.0727165565473387</v>
      </c>
      <c r="O33" s="19"/>
      <c r="P33" s="229">
        <f t="shared" si="0"/>
        <v>5.112701340114465</v>
      </c>
      <c r="Q33" s="229">
        <f t="shared" si="7"/>
        <v>6.2187838775379936</v>
      </c>
      <c r="R33" s="144"/>
    </row>
    <row r="34" spans="2:18">
      <c r="B34" s="142">
        <f t="shared" si="4"/>
        <v>2024</v>
      </c>
      <c r="C34" s="19">
        <f t="shared" si="5"/>
        <v>5</v>
      </c>
      <c r="D34" s="143">
        <v>45413</v>
      </c>
      <c r="E34" s="19" t="str">
        <f t="shared" si="6"/>
        <v>5-2024</v>
      </c>
      <c r="F34" s="91">
        <f>'IEPR Gas Prices Real'!F36*(INDEX('GDP Deflator'!$D$6:$D$91,MATCH('IEPR Gas Prices Nominal'!$B34,'GDP Deflator'!$B$6:$B$91,0)))</f>
        <v>5.0543376468538748</v>
      </c>
      <c r="G34" s="91">
        <f>'IEPR Gas Prices Real'!G36*(INDEX('GDP Deflator'!$D$6:$D$91,MATCH('IEPR Gas Prices Nominal'!$B34,'GDP Deflator'!$B$6:$B$91,0)))</f>
        <v>0.96712376363406272</v>
      </c>
      <c r="H34" s="91">
        <f>'IEPR Gas Prices Real'!H36*(INDEX('GDP Deflator'!$D$6:$D$91,MATCH('IEPR Gas Prices Nominal'!$B34,'GDP Deflator'!$B$6:$B$91,0)))</f>
        <v>6.0214614104879374</v>
      </c>
      <c r="I34" s="91">
        <f>'IEPR Gas Prices Real'!I36*(INDEX('GDP Deflator'!$D$6:$D$91,MATCH('IEPR Gas Prices Nominal'!$B34,'GDP Deflator'!$B$6:$B$91,0)))</f>
        <v>5.3170458957898434</v>
      </c>
      <c r="J34" s="91">
        <f>'IEPR Gas Prices Real'!J36*(INDEX('GDP Deflator'!$D$6:$D$91,MATCH('IEPR Gas Prices Nominal'!$B34,'GDP Deflator'!$B$6:$B$91,0)))</f>
        <v>1.5969552191715795</v>
      </c>
      <c r="K34" s="91">
        <f>'IEPR Gas Prices Real'!K36*(INDEX('GDP Deflator'!$D$6:$D$91,MATCH('IEPR Gas Prices Nominal'!$B34,'GDP Deflator'!$B$6:$B$91,0)))</f>
        <v>6.9140011149614224</v>
      </c>
      <c r="L34" s="91">
        <f>'IEPR Gas Prices Real'!L36*(INDEX('GDP Deflator'!$D$6:$D$91,MATCH('IEPR Gas Prices Nominal'!$B34,'GDP Deflator'!$B$6:$B$91,0)))</f>
        <v>5.5048899131603504</v>
      </c>
      <c r="M34" s="91">
        <f>'IEPR Gas Prices Real'!M36*(INDEX('GDP Deflator'!$D$6:$D$91,MATCH('IEPR Gas Prices Nominal'!$B34,'GDP Deflator'!$B$6:$B$91,0)))</f>
        <v>0.75416862946494156</v>
      </c>
      <c r="N34" s="91">
        <f>'IEPR Gas Prices Real'!N36*(INDEX('GDP Deflator'!$D$6:$D$91,MATCH('IEPR Gas Prices Nominal'!$B34,'GDP Deflator'!$B$6:$B$91,0)))</f>
        <v>6.2590585426252927</v>
      </c>
      <c r="O34" s="19"/>
      <c r="P34" s="229">
        <f t="shared" si="0"/>
        <v>5.2920911519346889</v>
      </c>
      <c r="Q34" s="229">
        <f t="shared" si="7"/>
        <v>6.3981736893582175</v>
      </c>
      <c r="R34" s="144"/>
    </row>
    <row r="35" spans="2:18">
      <c r="B35" s="142">
        <f t="shared" si="4"/>
        <v>2024</v>
      </c>
      <c r="C35" s="19">
        <f t="shared" si="5"/>
        <v>6</v>
      </c>
      <c r="D35" s="143">
        <v>45444</v>
      </c>
      <c r="E35" s="19" t="str">
        <f t="shared" si="6"/>
        <v>6-2024</v>
      </c>
      <c r="F35" s="91">
        <f>'IEPR Gas Prices Real'!F37*(INDEX('GDP Deflator'!$D$6:$D$91,MATCH('IEPR Gas Prices Nominal'!$B35,'GDP Deflator'!$B$6:$B$91,0)))</f>
        <v>5.1870595115342271</v>
      </c>
      <c r="G35" s="91">
        <f>'IEPR Gas Prices Real'!G37*(INDEX('GDP Deflator'!$D$6:$D$91,MATCH('IEPR Gas Prices Nominal'!$B35,'GDP Deflator'!$B$6:$B$91,0)))</f>
        <v>0.96712376363406272</v>
      </c>
      <c r="H35" s="91">
        <f>'IEPR Gas Prices Real'!H37*(INDEX('GDP Deflator'!$D$6:$D$91,MATCH('IEPR Gas Prices Nominal'!$B35,'GDP Deflator'!$B$6:$B$91,0)))</f>
        <v>6.1541832751682897</v>
      </c>
      <c r="I35" s="91">
        <f>'IEPR Gas Prices Real'!I37*(INDEX('GDP Deflator'!$D$6:$D$91,MATCH('IEPR Gas Prices Nominal'!$B35,'GDP Deflator'!$B$6:$B$91,0)))</f>
        <v>5.4556453001487535</v>
      </c>
      <c r="J35" s="91">
        <f>'IEPR Gas Prices Real'!J37*(INDEX('GDP Deflator'!$D$6:$D$91,MATCH('IEPR Gas Prices Nominal'!$B35,'GDP Deflator'!$B$6:$B$91,0)))</f>
        <v>1.5969552191715795</v>
      </c>
      <c r="K35" s="91">
        <f>'IEPR Gas Prices Real'!K37*(INDEX('GDP Deflator'!$D$6:$D$91,MATCH('IEPR Gas Prices Nominal'!$B35,'GDP Deflator'!$B$6:$B$91,0)))</f>
        <v>7.0526005193203334</v>
      </c>
      <c r="L35" s="91">
        <f>'IEPR Gas Prices Real'!L37*(INDEX('GDP Deflator'!$D$6:$D$91,MATCH('IEPR Gas Prices Nominal'!$B35,'GDP Deflator'!$B$6:$B$91,0)))</f>
        <v>5.6484764362772681</v>
      </c>
      <c r="M35" s="91">
        <f>'IEPR Gas Prices Real'!M37*(INDEX('GDP Deflator'!$D$6:$D$91,MATCH('IEPR Gas Prices Nominal'!$B35,'GDP Deflator'!$B$6:$B$91,0)))</f>
        <v>0.75416862946494156</v>
      </c>
      <c r="N35" s="91">
        <f>'IEPR Gas Prices Real'!N37*(INDEX('GDP Deflator'!$D$6:$D$91,MATCH('IEPR Gas Prices Nominal'!$B35,'GDP Deflator'!$B$6:$B$91,0)))</f>
        <v>6.4026450657422096</v>
      </c>
      <c r="O35" s="19"/>
      <c r="P35" s="229">
        <f t="shared" si="0"/>
        <v>5.4303937493200829</v>
      </c>
      <c r="Q35" s="229">
        <f t="shared" si="7"/>
        <v>6.5364762867436106</v>
      </c>
      <c r="R35" s="144"/>
    </row>
    <row r="36" spans="2:18">
      <c r="B36" s="142">
        <f t="shared" si="4"/>
        <v>2024</v>
      </c>
      <c r="C36" s="19">
        <f t="shared" si="5"/>
        <v>7</v>
      </c>
      <c r="D36" s="143">
        <v>45474</v>
      </c>
      <c r="E36" s="19" t="str">
        <f t="shared" si="6"/>
        <v>7-2024</v>
      </c>
      <c r="F36" s="91">
        <f>'IEPR Gas Prices Real'!F38*(INDEX('GDP Deflator'!$D$6:$D$91,MATCH('IEPR Gas Prices Nominal'!$B36,'GDP Deflator'!$B$6:$B$91,0)))</f>
        <v>5.2302842799157592</v>
      </c>
      <c r="G36" s="91">
        <f>'IEPR Gas Prices Real'!G38*(INDEX('GDP Deflator'!$D$6:$D$91,MATCH('IEPR Gas Prices Nominal'!$B36,'GDP Deflator'!$B$6:$B$91,0)))</f>
        <v>0.96712376363406272</v>
      </c>
      <c r="H36" s="91">
        <f>'IEPR Gas Prices Real'!H38*(INDEX('GDP Deflator'!$D$6:$D$91,MATCH('IEPR Gas Prices Nominal'!$B36,'GDP Deflator'!$B$6:$B$91,0)))</f>
        <v>6.1974080435498218</v>
      </c>
      <c r="I36" s="91">
        <f>'IEPR Gas Prices Real'!I38*(INDEX('GDP Deflator'!$D$6:$D$91,MATCH('IEPR Gas Prices Nominal'!$B36,'GDP Deflator'!$B$6:$B$91,0)))</f>
        <v>5.5000795516386685</v>
      </c>
      <c r="J36" s="91">
        <f>'IEPR Gas Prices Real'!J38*(INDEX('GDP Deflator'!$D$6:$D$91,MATCH('IEPR Gas Prices Nominal'!$B36,'GDP Deflator'!$B$6:$B$91,0)))</f>
        <v>1.5969552191715795</v>
      </c>
      <c r="K36" s="91">
        <f>'IEPR Gas Prices Real'!K38*(INDEX('GDP Deflator'!$D$6:$D$91,MATCH('IEPR Gas Prices Nominal'!$B36,'GDP Deflator'!$B$6:$B$91,0)))</f>
        <v>7.0970347708102484</v>
      </c>
      <c r="L36" s="91">
        <f>'IEPR Gas Prices Real'!L38*(INDEX('GDP Deflator'!$D$6:$D$91,MATCH('IEPR Gas Prices Nominal'!$B36,'GDP Deflator'!$B$6:$B$91,0)))</f>
        <v>5.6945725244446264</v>
      </c>
      <c r="M36" s="91">
        <f>'IEPR Gas Prices Real'!M38*(INDEX('GDP Deflator'!$D$6:$D$91,MATCH('IEPR Gas Prices Nominal'!$B36,'GDP Deflator'!$B$6:$B$91,0)))</f>
        <v>0.75416862946494156</v>
      </c>
      <c r="N36" s="91">
        <f>'IEPR Gas Prices Real'!N38*(INDEX('GDP Deflator'!$D$6:$D$91,MATCH('IEPR Gas Prices Nominal'!$B36,'GDP Deflator'!$B$6:$B$91,0)))</f>
        <v>6.4487411539095687</v>
      </c>
      <c r="O36" s="19"/>
      <c r="P36" s="229">
        <f t="shared" si="0"/>
        <v>5.4749787853330183</v>
      </c>
      <c r="Q36" s="229">
        <f t="shared" si="7"/>
        <v>6.5810613227565469</v>
      </c>
      <c r="R36" s="144"/>
    </row>
    <row r="37" spans="2:18">
      <c r="B37" s="142">
        <f t="shared" si="4"/>
        <v>2024</v>
      </c>
      <c r="C37" s="19">
        <f t="shared" si="5"/>
        <v>8</v>
      </c>
      <c r="D37" s="143">
        <v>45505</v>
      </c>
      <c r="E37" s="19" t="str">
        <f t="shared" si="6"/>
        <v>8-2024</v>
      </c>
      <c r="F37" s="91">
        <f>'IEPR Gas Prices Real'!F39*(INDEX('GDP Deflator'!$D$6:$D$91,MATCH('IEPR Gas Prices Nominal'!$B37,'GDP Deflator'!$B$6:$B$91,0)))</f>
        <v>5.1919428998704067</v>
      </c>
      <c r="G37" s="91">
        <f>'IEPR Gas Prices Real'!G39*(INDEX('GDP Deflator'!$D$6:$D$91,MATCH('IEPR Gas Prices Nominal'!$B37,'GDP Deflator'!$B$6:$B$91,0)))</f>
        <v>0.96712376363406272</v>
      </c>
      <c r="H37" s="91">
        <f>'IEPR Gas Prices Real'!H39*(INDEX('GDP Deflator'!$D$6:$D$91,MATCH('IEPR Gas Prices Nominal'!$B37,'GDP Deflator'!$B$6:$B$91,0)))</f>
        <v>6.1590666635044693</v>
      </c>
      <c r="I37" s="91">
        <f>'IEPR Gas Prices Real'!I39*(INDEX('GDP Deflator'!$D$6:$D$91,MATCH('IEPR Gas Prices Nominal'!$B37,'GDP Deflator'!$B$6:$B$91,0)))</f>
        <v>5.4587399680564204</v>
      </c>
      <c r="J37" s="91">
        <f>'IEPR Gas Prices Real'!J39*(INDEX('GDP Deflator'!$D$6:$D$91,MATCH('IEPR Gas Prices Nominal'!$B37,'GDP Deflator'!$B$6:$B$91,0)))</f>
        <v>1.5969552191715795</v>
      </c>
      <c r="K37" s="91">
        <f>'IEPR Gas Prices Real'!K39*(INDEX('GDP Deflator'!$D$6:$D$91,MATCH('IEPR Gas Prices Nominal'!$B37,'GDP Deflator'!$B$6:$B$91,0)))</f>
        <v>7.0556951872279994</v>
      </c>
      <c r="L37" s="91">
        <f>'IEPR Gas Prices Real'!L39*(INDEX('GDP Deflator'!$D$6:$D$91,MATCH('IEPR Gas Prices Nominal'!$B37,'GDP Deflator'!$B$6:$B$91,0)))</f>
        <v>5.6518616772678802</v>
      </c>
      <c r="M37" s="91">
        <f>'IEPR Gas Prices Real'!M39*(INDEX('GDP Deflator'!$D$6:$D$91,MATCH('IEPR Gas Prices Nominal'!$B37,'GDP Deflator'!$B$6:$B$91,0)))</f>
        <v>0.75416862946494156</v>
      </c>
      <c r="N37" s="91">
        <f>'IEPR Gas Prices Real'!N39*(INDEX('GDP Deflator'!$D$6:$D$91,MATCH('IEPR Gas Prices Nominal'!$B37,'GDP Deflator'!$B$6:$B$91,0)))</f>
        <v>6.4060303067328217</v>
      </c>
      <c r="O37" s="19"/>
      <c r="P37" s="229">
        <f t="shared" si="0"/>
        <v>5.4341815150649024</v>
      </c>
      <c r="Q37" s="229">
        <f t="shared" si="7"/>
        <v>6.5402640524884292</v>
      </c>
      <c r="R37" s="144"/>
    </row>
    <row r="38" spans="2:18">
      <c r="B38" s="142">
        <f t="shared" si="4"/>
        <v>2024</v>
      </c>
      <c r="C38" s="19">
        <f t="shared" si="5"/>
        <v>9</v>
      </c>
      <c r="D38" s="143">
        <v>45536</v>
      </c>
      <c r="E38" s="19" t="str">
        <f t="shared" si="6"/>
        <v>9-2024</v>
      </c>
      <c r="F38" s="91">
        <f>'IEPR Gas Prices Real'!F40*(INDEX('GDP Deflator'!$D$6:$D$91,MATCH('IEPR Gas Prices Nominal'!$B38,'GDP Deflator'!$B$6:$B$91,0)))</f>
        <v>5.2670590669230055</v>
      </c>
      <c r="G38" s="91">
        <f>'IEPR Gas Prices Real'!G40*(INDEX('GDP Deflator'!$D$6:$D$91,MATCH('IEPR Gas Prices Nominal'!$B38,'GDP Deflator'!$B$6:$B$91,0)))</f>
        <v>0.96712376363406272</v>
      </c>
      <c r="H38" s="91">
        <f>'IEPR Gas Prices Real'!H40*(INDEX('GDP Deflator'!$D$6:$D$91,MATCH('IEPR Gas Prices Nominal'!$B38,'GDP Deflator'!$B$6:$B$91,0)))</f>
        <v>6.2341828305570681</v>
      </c>
      <c r="I38" s="91">
        <f>'IEPR Gas Prices Real'!I40*(INDEX('GDP Deflator'!$D$6:$D$91,MATCH('IEPR Gas Prices Nominal'!$B38,'GDP Deflator'!$B$6:$B$91,0)))</f>
        <v>5.5366816521720423</v>
      </c>
      <c r="J38" s="91">
        <f>'IEPR Gas Prices Real'!J40*(INDEX('GDP Deflator'!$D$6:$D$91,MATCH('IEPR Gas Prices Nominal'!$B38,'GDP Deflator'!$B$6:$B$91,0)))</f>
        <v>1.5969552191715795</v>
      </c>
      <c r="K38" s="91">
        <f>'IEPR Gas Prices Real'!K40*(INDEX('GDP Deflator'!$D$6:$D$91,MATCH('IEPR Gas Prices Nominal'!$B38,'GDP Deflator'!$B$6:$B$91,0)))</f>
        <v>7.1336368713436213</v>
      </c>
      <c r="L38" s="91">
        <f>'IEPR Gas Prices Real'!L40*(INDEX('GDP Deflator'!$D$6:$D$91,MATCH('IEPR Gas Prices Nominal'!$B38,'GDP Deflator'!$B$6:$B$91,0)))</f>
        <v>5.7326526596202578</v>
      </c>
      <c r="M38" s="91">
        <f>'IEPR Gas Prices Real'!M40*(INDEX('GDP Deflator'!$D$6:$D$91,MATCH('IEPR Gas Prices Nominal'!$B38,'GDP Deflator'!$B$6:$B$91,0)))</f>
        <v>0.75416862946494156</v>
      </c>
      <c r="N38" s="91">
        <f>'IEPR Gas Prices Real'!N40*(INDEX('GDP Deflator'!$D$6:$D$91,MATCH('IEPR Gas Prices Nominal'!$B38,'GDP Deflator'!$B$6:$B$91,0)))</f>
        <v>6.4868212890852002</v>
      </c>
      <c r="O38" s="19"/>
      <c r="P38" s="229">
        <f t="shared" si="0"/>
        <v>5.5121311262384358</v>
      </c>
      <c r="Q38" s="229">
        <f t="shared" si="7"/>
        <v>6.6182136636619626</v>
      </c>
      <c r="R38" s="144"/>
    </row>
    <row r="39" spans="2:18">
      <c r="B39" s="142">
        <f t="shared" si="4"/>
        <v>2024</v>
      </c>
      <c r="C39" s="19">
        <f t="shared" si="5"/>
        <v>10</v>
      </c>
      <c r="D39" s="143">
        <v>45566</v>
      </c>
      <c r="E39" s="19" t="str">
        <f t="shared" si="6"/>
        <v>10-2024</v>
      </c>
      <c r="F39" s="91">
        <f>'IEPR Gas Prices Real'!F41*(INDEX('GDP Deflator'!$D$6:$D$91,MATCH('IEPR Gas Prices Nominal'!$B39,'GDP Deflator'!$B$6:$B$91,0)))</f>
        <v>5.2387827058535006</v>
      </c>
      <c r="G39" s="91">
        <f>'IEPR Gas Prices Real'!G41*(INDEX('GDP Deflator'!$D$6:$D$91,MATCH('IEPR Gas Prices Nominal'!$B39,'GDP Deflator'!$B$6:$B$91,0)))</f>
        <v>0.96712376363406272</v>
      </c>
      <c r="H39" s="91">
        <f>'IEPR Gas Prices Real'!H41*(INDEX('GDP Deflator'!$D$6:$D$91,MATCH('IEPR Gas Prices Nominal'!$B39,'GDP Deflator'!$B$6:$B$91,0)))</f>
        <v>6.2059064694875632</v>
      </c>
      <c r="I39" s="91">
        <f>'IEPR Gas Prices Real'!I41*(INDEX('GDP Deflator'!$D$6:$D$91,MATCH('IEPR Gas Prices Nominal'!$B39,'GDP Deflator'!$B$6:$B$91,0)))</f>
        <v>5.5059296383899872</v>
      </c>
      <c r="J39" s="91">
        <f>'IEPR Gas Prices Real'!J41*(INDEX('GDP Deflator'!$D$6:$D$91,MATCH('IEPR Gas Prices Nominal'!$B39,'GDP Deflator'!$B$6:$B$91,0)))</f>
        <v>1.5969552191715795</v>
      </c>
      <c r="K39" s="91">
        <f>'IEPR Gas Prices Real'!K41*(INDEX('GDP Deflator'!$D$6:$D$91,MATCH('IEPR Gas Prices Nominal'!$B39,'GDP Deflator'!$B$6:$B$91,0)))</f>
        <v>7.1028848575615671</v>
      </c>
      <c r="L39" s="91">
        <f>'IEPR Gas Prices Real'!L41*(INDEX('GDP Deflator'!$D$6:$D$91,MATCH('IEPR Gas Prices Nominal'!$B39,'GDP Deflator'!$B$6:$B$91,0)))</f>
        <v>5.7009034796545022</v>
      </c>
      <c r="M39" s="91">
        <f>'IEPR Gas Prices Real'!M41*(INDEX('GDP Deflator'!$D$6:$D$91,MATCH('IEPR Gas Prices Nominal'!$B39,'GDP Deflator'!$B$6:$B$91,0)))</f>
        <v>0.75416862946494156</v>
      </c>
      <c r="N39" s="91">
        <f>'IEPR Gas Prices Real'!N41*(INDEX('GDP Deflator'!$D$6:$D$91,MATCH('IEPR Gas Prices Nominal'!$B39,'GDP Deflator'!$B$6:$B$91,0)))</f>
        <v>6.4550721091194445</v>
      </c>
      <c r="O39" s="19"/>
      <c r="P39" s="229">
        <f t="shared" si="0"/>
        <v>5.4818719412993309</v>
      </c>
      <c r="Q39" s="229">
        <f t="shared" si="7"/>
        <v>6.5879544787228577</v>
      </c>
      <c r="R39" s="144"/>
    </row>
    <row r="40" spans="2:18">
      <c r="B40" s="142">
        <f t="shared" si="4"/>
        <v>2024</v>
      </c>
      <c r="C40" s="19">
        <f t="shared" si="5"/>
        <v>11</v>
      </c>
      <c r="D40" s="143">
        <v>45597</v>
      </c>
      <c r="E40" s="19" t="str">
        <f t="shared" si="6"/>
        <v>11-2024</v>
      </c>
      <c r="F40" s="91">
        <f>'IEPR Gas Prices Real'!F42*(INDEX('GDP Deflator'!$D$6:$D$91,MATCH('IEPR Gas Prices Nominal'!$B40,'GDP Deflator'!$B$6:$B$91,0)))</f>
        <v>5.4998970487833452</v>
      </c>
      <c r="G40" s="91">
        <f>'IEPR Gas Prices Real'!G42*(INDEX('GDP Deflator'!$D$6:$D$91,MATCH('IEPR Gas Prices Nominal'!$B40,'GDP Deflator'!$B$6:$B$91,0)))</f>
        <v>0.96712376363406272</v>
      </c>
      <c r="H40" s="91">
        <f>'IEPR Gas Prices Real'!H42*(INDEX('GDP Deflator'!$D$6:$D$91,MATCH('IEPR Gas Prices Nominal'!$B40,'GDP Deflator'!$B$6:$B$91,0)))</f>
        <v>6.4670208124174078</v>
      </c>
      <c r="I40" s="91">
        <f>'IEPR Gas Prices Real'!I42*(INDEX('GDP Deflator'!$D$6:$D$91,MATCH('IEPR Gas Prices Nominal'!$B40,'GDP Deflator'!$B$6:$B$91,0)))</f>
        <v>5.7792806101674241</v>
      </c>
      <c r="J40" s="91">
        <f>'IEPR Gas Prices Real'!J42*(INDEX('GDP Deflator'!$D$6:$D$91,MATCH('IEPR Gas Prices Nominal'!$B40,'GDP Deflator'!$B$6:$B$91,0)))</f>
        <v>1.5969552191715795</v>
      </c>
      <c r="K40" s="91">
        <f>'IEPR Gas Prices Real'!K42*(INDEX('GDP Deflator'!$D$6:$D$91,MATCH('IEPR Gas Prices Nominal'!$B40,'GDP Deflator'!$B$6:$B$91,0)))</f>
        <v>7.3762358293390031</v>
      </c>
      <c r="L40" s="91">
        <f>'IEPR Gas Prices Real'!L42*(INDEX('GDP Deflator'!$D$6:$D$91,MATCH('IEPR Gas Prices Nominal'!$B40,'GDP Deflator'!$B$6:$B$91,0)))</f>
        <v>5.9840300528053065</v>
      </c>
      <c r="M40" s="91">
        <f>'IEPR Gas Prices Real'!M42*(INDEX('GDP Deflator'!$D$6:$D$91,MATCH('IEPR Gas Prices Nominal'!$B40,'GDP Deflator'!$B$6:$B$91,0)))</f>
        <v>0.75416862946494156</v>
      </c>
      <c r="N40" s="91">
        <f>'IEPR Gas Prices Real'!N42*(INDEX('GDP Deflator'!$D$6:$D$91,MATCH('IEPR Gas Prices Nominal'!$B40,'GDP Deflator'!$B$6:$B$91,0)))</f>
        <v>6.738198682270248</v>
      </c>
      <c r="O40" s="19"/>
      <c r="P40" s="229">
        <f t="shared" si="0"/>
        <v>5.7544025705853583</v>
      </c>
      <c r="Q40" s="229">
        <f t="shared" si="7"/>
        <v>6.8604851080088869</v>
      </c>
      <c r="R40" s="144"/>
    </row>
    <row r="41" spans="2:18">
      <c r="B41" s="142">
        <f t="shared" si="4"/>
        <v>2024</v>
      </c>
      <c r="C41" s="19">
        <f t="shared" si="5"/>
        <v>12</v>
      </c>
      <c r="D41" s="143">
        <v>45627</v>
      </c>
      <c r="E41" s="19" t="str">
        <f t="shared" si="6"/>
        <v>12-2024</v>
      </c>
      <c r="F41" s="91">
        <f>'IEPR Gas Prices Real'!F43*(INDEX('GDP Deflator'!$D$6:$D$91,MATCH('IEPR Gas Prices Nominal'!$B41,'GDP Deflator'!$B$6:$B$91,0)))</f>
        <v>5.5463308779829754</v>
      </c>
      <c r="G41" s="91">
        <f>'IEPR Gas Prices Real'!G43*(INDEX('GDP Deflator'!$D$6:$D$91,MATCH('IEPR Gas Prices Nominal'!$B41,'GDP Deflator'!$B$6:$B$91,0)))</f>
        <v>0.96712376363406272</v>
      </c>
      <c r="H41" s="91">
        <f>'IEPR Gas Prices Real'!H43*(INDEX('GDP Deflator'!$D$6:$D$91,MATCH('IEPR Gas Prices Nominal'!$B41,'GDP Deflator'!$B$6:$B$91,0)))</f>
        <v>6.513454641617038</v>
      </c>
      <c r="I41" s="91">
        <f>'IEPR Gas Prices Real'!I43*(INDEX('GDP Deflator'!$D$6:$D$91,MATCH('IEPR Gas Prices Nominal'!$B41,'GDP Deflator'!$B$6:$B$91,0)))</f>
        <v>5.8269861885216114</v>
      </c>
      <c r="J41" s="91">
        <f>'IEPR Gas Prices Real'!J43*(INDEX('GDP Deflator'!$D$6:$D$91,MATCH('IEPR Gas Prices Nominal'!$B41,'GDP Deflator'!$B$6:$B$91,0)))</f>
        <v>1.5969552191715795</v>
      </c>
      <c r="K41" s="91">
        <f>'IEPR Gas Prices Real'!K43*(INDEX('GDP Deflator'!$D$6:$D$91,MATCH('IEPR Gas Prices Nominal'!$B41,'GDP Deflator'!$B$6:$B$91,0)))</f>
        <v>7.4239414076931904</v>
      </c>
      <c r="L41" s="91">
        <f>'IEPR Gas Prices Real'!L43*(INDEX('GDP Deflator'!$D$6:$D$91,MATCH('IEPR Gas Prices Nominal'!$B41,'GDP Deflator'!$B$6:$B$91,0)))</f>
        <v>6.033522314778982</v>
      </c>
      <c r="M41" s="91">
        <f>'IEPR Gas Prices Real'!M43*(INDEX('GDP Deflator'!$D$6:$D$91,MATCH('IEPR Gas Prices Nominal'!$B41,'GDP Deflator'!$B$6:$B$91,0)))</f>
        <v>0.75416862946494156</v>
      </c>
      <c r="N41" s="91">
        <f>'IEPR Gas Prices Real'!N43*(INDEX('GDP Deflator'!$D$6:$D$91,MATCH('IEPR Gas Prices Nominal'!$B41,'GDP Deflator'!$B$6:$B$91,0)))</f>
        <v>6.7876909442439244</v>
      </c>
      <c r="O41" s="19"/>
      <c r="P41" s="229">
        <f t="shared" si="0"/>
        <v>5.8022797937611896</v>
      </c>
      <c r="Q41" s="229">
        <f t="shared" si="7"/>
        <v>6.9083623311847182</v>
      </c>
      <c r="R41" s="144"/>
    </row>
    <row r="42" spans="2:18">
      <c r="B42" s="142">
        <f t="shared" si="4"/>
        <v>2025</v>
      </c>
      <c r="C42" s="19">
        <f t="shared" si="5"/>
        <v>1</v>
      </c>
      <c r="D42" s="143">
        <v>45658</v>
      </c>
      <c r="E42" s="19" t="str">
        <f t="shared" si="6"/>
        <v>1-2025</v>
      </c>
      <c r="F42" s="91">
        <f>'IEPR Gas Prices Real'!F44*(INDEX('GDP Deflator'!$D$6:$D$91,MATCH('IEPR Gas Prices Nominal'!$B42,'GDP Deflator'!$B$6:$B$91,0)))</f>
        <v>5.6765433125840072</v>
      </c>
      <c r="G42" s="91">
        <f>'IEPR Gas Prices Real'!G44*(INDEX('GDP Deflator'!$D$6:$D$91,MATCH('IEPR Gas Prices Nominal'!$B42,'GDP Deflator'!$B$6:$B$91,0)))</f>
        <v>1.0293312483438501</v>
      </c>
      <c r="H42" s="91">
        <f>'IEPR Gas Prices Real'!H44*(INDEX('GDP Deflator'!$D$6:$D$91,MATCH('IEPR Gas Prices Nominal'!$B42,'GDP Deflator'!$B$6:$B$91,0)))</f>
        <v>6.7058745609278576</v>
      </c>
      <c r="I42" s="91">
        <f>'IEPR Gas Prices Real'!I44*(INDEX('GDP Deflator'!$D$6:$D$91,MATCH('IEPR Gas Prices Nominal'!$B42,'GDP Deflator'!$B$6:$B$91,0)))</f>
        <v>5.9637724918680739</v>
      </c>
      <c r="J42" s="91">
        <f>'IEPR Gas Prices Real'!J44*(INDEX('GDP Deflator'!$D$6:$D$91,MATCH('IEPR Gas Prices Nominal'!$B42,'GDP Deflator'!$B$6:$B$91,0)))</f>
        <v>1.6996748204411647</v>
      </c>
      <c r="K42" s="91">
        <f>'IEPR Gas Prices Real'!K44*(INDEX('GDP Deflator'!$D$6:$D$91,MATCH('IEPR Gas Prices Nominal'!$B42,'GDP Deflator'!$B$6:$B$91,0)))</f>
        <v>7.6634473123092386</v>
      </c>
      <c r="L42" s="91">
        <f>'IEPR Gas Prices Real'!L44*(INDEX('GDP Deflator'!$D$6:$D$91,MATCH('IEPR Gas Prices Nominal'!$B42,'GDP Deflator'!$B$6:$B$91,0)))</f>
        <v>6.1752149796645801</v>
      </c>
      <c r="M42" s="91">
        <f>'IEPR Gas Prices Real'!M44*(INDEX('GDP Deflator'!$D$6:$D$91,MATCH('IEPR Gas Prices Nominal'!$B42,'GDP Deflator'!$B$6:$B$91,0)))</f>
        <v>0.80267838100879185</v>
      </c>
      <c r="N42" s="91">
        <f>'IEPR Gas Prices Real'!N44*(INDEX('GDP Deflator'!$D$6:$D$91,MATCH('IEPR Gas Prices Nominal'!$B42,'GDP Deflator'!$B$6:$B$91,0)))</f>
        <v>6.9778933606733711</v>
      </c>
      <c r="O42" s="19"/>
      <c r="P42" s="229">
        <f t="shared" si="0"/>
        <v>5.9385102613722198</v>
      </c>
      <c r="Q42" s="229">
        <f t="shared" si="7"/>
        <v>7.1157384113034894</v>
      </c>
      <c r="R42" s="144"/>
    </row>
    <row r="43" spans="2:18">
      <c r="B43" s="142">
        <f t="shared" si="4"/>
        <v>2025</v>
      </c>
      <c r="C43" s="19">
        <f t="shared" si="5"/>
        <v>2</v>
      </c>
      <c r="D43" s="143">
        <v>45689</v>
      </c>
      <c r="E43" s="19" t="str">
        <f t="shared" si="6"/>
        <v>2-2025</v>
      </c>
      <c r="F43" s="91">
        <f>'IEPR Gas Prices Real'!F45*(INDEX('GDP Deflator'!$D$6:$D$91,MATCH('IEPR Gas Prices Nominal'!$B43,'GDP Deflator'!$B$6:$B$91,0)))</f>
        <v>5.5522516967038511</v>
      </c>
      <c r="G43" s="91">
        <f>'IEPR Gas Prices Real'!G45*(INDEX('GDP Deflator'!$D$6:$D$91,MATCH('IEPR Gas Prices Nominal'!$B43,'GDP Deflator'!$B$6:$B$91,0)))</f>
        <v>1.0293312483438501</v>
      </c>
      <c r="H43" s="91">
        <f>'IEPR Gas Prices Real'!H45*(INDEX('GDP Deflator'!$D$6:$D$91,MATCH('IEPR Gas Prices Nominal'!$B43,'GDP Deflator'!$B$6:$B$91,0)))</f>
        <v>6.5815829450477006</v>
      </c>
      <c r="I43" s="91">
        <f>'IEPR Gas Prices Real'!I45*(INDEX('GDP Deflator'!$D$6:$D$91,MATCH('IEPR Gas Prices Nominal'!$B43,'GDP Deflator'!$B$6:$B$91,0)))</f>
        <v>5.8331769990526565</v>
      </c>
      <c r="J43" s="91">
        <f>'IEPR Gas Prices Real'!J45*(INDEX('GDP Deflator'!$D$6:$D$91,MATCH('IEPR Gas Prices Nominal'!$B43,'GDP Deflator'!$B$6:$B$91,0)))</f>
        <v>1.6996748204411647</v>
      </c>
      <c r="K43" s="91">
        <f>'IEPR Gas Prices Real'!K45*(INDEX('GDP Deflator'!$D$6:$D$91,MATCH('IEPR Gas Prices Nominal'!$B43,'GDP Deflator'!$B$6:$B$91,0)))</f>
        <v>7.5328518194938212</v>
      </c>
      <c r="L43" s="91">
        <f>'IEPR Gas Prices Real'!L45*(INDEX('GDP Deflator'!$D$6:$D$91,MATCH('IEPR Gas Prices Nominal'!$B43,'GDP Deflator'!$B$6:$B$91,0)))</f>
        <v>6.0400460260805477</v>
      </c>
      <c r="M43" s="91">
        <f>'IEPR Gas Prices Real'!M45*(INDEX('GDP Deflator'!$D$6:$D$91,MATCH('IEPR Gas Prices Nominal'!$B43,'GDP Deflator'!$B$6:$B$91,0)))</f>
        <v>0.80267838100879185</v>
      </c>
      <c r="N43" s="91">
        <f>'IEPR Gas Prices Real'!N45*(INDEX('GDP Deflator'!$D$6:$D$91,MATCH('IEPR Gas Prices Nominal'!$B43,'GDP Deflator'!$B$6:$B$91,0)))</f>
        <v>6.8427244070893396</v>
      </c>
      <c r="O43" s="19"/>
      <c r="P43" s="229">
        <f t="shared" si="0"/>
        <v>5.8084915739456848</v>
      </c>
      <c r="Q43" s="229">
        <f t="shared" si="7"/>
        <v>6.9857197238769535</v>
      </c>
      <c r="R43" s="144"/>
    </row>
    <row r="44" spans="2:18">
      <c r="B44" s="142">
        <f t="shared" si="4"/>
        <v>2025</v>
      </c>
      <c r="C44" s="19">
        <f t="shared" si="5"/>
        <v>3</v>
      </c>
      <c r="D44" s="143">
        <v>45717</v>
      </c>
      <c r="E44" s="19" t="str">
        <f t="shared" si="6"/>
        <v>3-2025</v>
      </c>
      <c r="F44" s="91">
        <f>'IEPR Gas Prices Real'!F46*(INDEX('GDP Deflator'!$D$6:$D$91,MATCH('IEPR Gas Prices Nominal'!$B44,'GDP Deflator'!$B$6:$B$91,0)))</f>
        <v>5.0971346944875027</v>
      </c>
      <c r="G44" s="91">
        <f>'IEPR Gas Prices Real'!G46*(INDEX('GDP Deflator'!$D$6:$D$91,MATCH('IEPR Gas Prices Nominal'!$B44,'GDP Deflator'!$B$6:$B$91,0)))</f>
        <v>1.0293312483438501</v>
      </c>
      <c r="H44" s="91">
        <f>'IEPR Gas Prices Real'!H46*(INDEX('GDP Deflator'!$D$6:$D$91,MATCH('IEPR Gas Prices Nominal'!$B44,'GDP Deflator'!$B$6:$B$91,0)))</f>
        <v>6.126465942831353</v>
      </c>
      <c r="I44" s="91">
        <f>'IEPR Gas Prices Real'!I46*(INDEX('GDP Deflator'!$D$6:$D$91,MATCH('IEPR Gas Prices Nominal'!$B44,'GDP Deflator'!$B$6:$B$91,0)))</f>
        <v>5.3550190104718851</v>
      </c>
      <c r="J44" s="91">
        <f>'IEPR Gas Prices Real'!J46*(INDEX('GDP Deflator'!$D$6:$D$91,MATCH('IEPR Gas Prices Nominal'!$B44,'GDP Deflator'!$B$6:$B$91,0)))</f>
        <v>1.6996748204411647</v>
      </c>
      <c r="K44" s="91">
        <f>'IEPR Gas Prices Real'!K46*(INDEX('GDP Deflator'!$D$6:$D$91,MATCH('IEPR Gas Prices Nominal'!$B44,'GDP Deflator'!$B$6:$B$91,0)))</f>
        <v>7.0546938309130498</v>
      </c>
      <c r="L44" s="91">
        <f>'IEPR Gas Prices Real'!L46*(INDEX('GDP Deflator'!$D$6:$D$91,MATCH('IEPR Gas Prices Nominal'!$B44,'GDP Deflator'!$B$6:$B$91,0)))</f>
        <v>5.5449826271690323</v>
      </c>
      <c r="M44" s="91">
        <f>'IEPR Gas Prices Real'!M46*(INDEX('GDP Deflator'!$D$6:$D$91,MATCH('IEPR Gas Prices Nominal'!$B44,'GDP Deflator'!$B$6:$B$91,0)))</f>
        <v>0.80267838100879185</v>
      </c>
      <c r="N44" s="91">
        <f>'IEPR Gas Prices Real'!N46*(INDEX('GDP Deflator'!$D$6:$D$91,MATCH('IEPR Gas Prices Nominal'!$B44,'GDP Deflator'!$B$6:$B$91,0)))</f>
        <v>6.3476610081778242</v>
      </c>
      <c r="O44" s="19"/>
      <c r="P44" s="229">
        <f t="shared" si="0"/>
        <v>5.3323787773761397</v>
      </c>
      <c r="Q44" s="229">
        <f t="shared" si="7"/>
        <v>6.5096069273074093</v>
      </c>
      <c r="R44" s="144"/>
    </row>
    <row r="45" spans="2:18">
      <c r="B45" s="142">
        <f t="shared" si="4"/>
        <v>2025</v>
      </c>
      <c r="C45" s="19">
        <f t="shared" si="5"/>
        <v>4</v>
      </c>
      <c r="D45" s="143">
        <v>45748</v>
      </c>
      <c r="E45" s="19" t="str">
        <f t="shared" si="6"/>
        <v>4-2025</v>
      </c>
      <c r="F45" s="91">
        <f>'IEPR Gas Prices Real'!F47*(INDEX('GDP Deflator'!$D$6:$D$91,MATCH('IEPR Gas Prices Nominal'!$B45,'GDP Deflator'!$B$6:$B$91,0)))</f>
        <v>5.0105548711541843</v>
      </c>
      <c r="G45" s="91">
        <f>'IEPR Gas Prices Real'!G47*(INDEX('GDP Deflator'!$D$6:$D$91,MATCH('IEPR Gas Prices Nominal'!$B45,'GDP Deflator'!$B$6:$B$91,0)))</f>
        <v>1.0293312483438501</v>
      </c>
      <c r="H45" s="91">
        <f>'IEPR Gas Prices Real'!H47*(INDEX('GDP Deflator'!$D$6:$D$91,MATCH('IEPR Gas Prices Nominal'!$B45,'GDP Deflator'!$B$6:$B$91,0)))</f>
        <v>6.0398861194980338</v>
      </c>
      <c r="I45" s="91">
        <f>'IEPR Gas Prices Real'!I47*(INDEX('GDP Deflator'!$D$6:$D$91,MATCH('IEPR Gas Prices Nominal'!$B45,'GDP Deflator'!$B$6:$B$91,0)))</f>
        <v>5.264045406690431</v>
      </c>
      <c r="J45" s="91">
        <f>'IEPR Gas Prices Real'!J47*(INDEX('GDP Deflator'!$D$6:$D$91,MATCH('IEPR Gas Prices Nominal'!$B45,'GDP Deflator'!$B$6:$B$91,0)))</f>
        <v>1.6996748204411647</v>
      </c>
      <c r="K45" s="91">
        <f>'IEPR Gas Prices Real'!K47*(INDEX('GDP Deflator'!$D$6:$D$91,MATCH('IEPR Gas Prices Nominal'!$B45,'GDP Deflator'!$B$6:$B$91,0)))</f>
        <v>6.9637202271315957</v>
      </c>
      <c r="L45" s="91">
        <f>'IEPR Gas Prices Real'!L47*(INDEX('GDP Deflator'!$D$6:$D$91,MATCH('IEPR Gas Prices Nominal'!$B45,'GDP Deflator'!$B$6:$B$91,0)))</f>
        <v>5.4508330339724846</v>
      </c>
      <c r="M45" s="91">
        <f>'IEPR Gas Prices Real'!M47*(INDEX('GDP Deflator'!$D$6:$D$91,MATCH('IEPR Gas Prices Nominal'!$B45,'GDP Deflator'!$B$6:$B$91,0)))</f>
        <v>0.80267838100879185</v>
      </c>
      <c r="N45" s="91">
        <f>'IEPR Gas Prices Real'!N47*(INDEX('GDP Deflator'!$D$6:$D$91,MATCH('IEPR Gas Prices Nominal'!$B45,'GDP Deflator'!$B$6:$B$91,0)))</f>
        <v>6.2535114149812756</v>
      </c>
      <c r="O45" s="19"/>
      <c r="P45" s="229">
        <f t="shared" si="0"/>
        <v>5.2418111039390336</v>
      </c>
      <c r="Q45" s="229">
        <f t="shared" si="7"/>
        <v>6.4190392538703023</v>
      </c>
      <c r="R45" s="144"/>
    </row>
    <row r="46" spans="2:18">
      <c r="B46" s="142">
        <f t="shared" si="4"/>
        <v>2025</v>
      </c>
      <c r="C46" s="19">
        <f t="shared" si="5"/>
        <v>5</v>
      </c>
      <c r="D46" s="143">
        <v>45778</v>
      </c>
      <c r="E46" s="19" t="str">
        <f t="shared" si="6"/>
        <v>5-2025</v>
      </c>
      <c r="F46" s="91">
        <f>'IEPR Gas Prices Real'!F48*(INDEX('GDP Deflator'!$D$6:$D$91,MATCH('IEPR Gas Prices Nominal'!$B46,'GDP Deflator'!$B$6:$B$91,0)))</f>
        <v>5.1850924296217142</v>
      </c>
      <c r="G46" s="91">
        <f>'IEPR Gas Prices Real'!G48*(INDEX('GDP Deflator'!$D$6:$D$91,MATCH('IEPR Gas Prices Nominal'!$B46,'GDP Deflator'!$B$6:$B$91,0)))</f>
        <v>1.0293312483438501</v>
      </c>
      <c r="H46" s="91">
        <f>'IEPR Gas Prices Real'!H48*(INDEX('GDP Deflator'!$D$6:$D$91,MATCH('IEPR Gas Prices Nominal'!$B46,'GDP Deflator'!$B$6:$B$91,0)))</f>
        <v>6.2144236779655655</v>
      </c>
      <c r="I46" s="91">
        <f>'IEPR Gas Prices Real'!I48*(INDEX('GDP Deflator'!$D$6:$D$91,MATCH('IEPR Gas Prices Nominal'!$B46,'GDP Deflator'!$B$6:$B$91,0)))</f>
        <v>5.4473992202603085</v>
      </c>
      <c r="J46" s="91">
        <f>'IEPR Gas Prices Real'!J48*(INDEX('GDP Deflator'!$D$6:$D$91,MATCH('IEPR Gas Prices Nominal'!$B46,'GDP Deflator'!$B$6:$B$91,0)))</f>
        <v>1.6996748204411647</v>
      </c>
      <c r="K46" s="91">
        <f>'IEPR Gas Prices Real'!K48*(INDEX('GDP Deflator'!$D$6:$D$91,MATCH('IEPR Gas Prices Nominal'!$B46,'GDP Deflator'!$B$6:$B$91,0)))</f>
        <v>7.1470740407014732</v>
      </c>
      <c r="L46" s="91">
        <f>'IEPR Gas Prices Real'!L48*(INDEX('GDP Deflator'!$D$6:$D$91,MATCH('IEPR Gas Prices Nominal'!$B46,'GDP Deflator'!$B$6:$B$91,0)))</f>
        <v>5.6407459005575422</v>
      </c>
      <c r="M46" s="91">
        <f>'IEPR Gas Prices Real'!M48*(INDEX('GDP Deflator'!$D$6:$D$91,MATCH('IEPR Gas Prices Nominal'!$B46,'GDP Deflator'!$B$6:$B$91,0)))</f>
        <v>0.80267838100879185</v>
      </c>
      <c r="N46" s="91">
        <f>'IEPR Gas Prices Real'!N48*(INDEX('GDP Deflator'!$D$6:$D$91,MATCH('IEPR Gas Prices Nominal'!$B46,'GDP Deflator'!$B$6:$B$91,0)))</f>
        <v>6.4434242815663341</v>
      </c>
      <c r="O46" s="19"/>
      <c r="P46" s="229">
        <f t="shared" si="0"/>
        <v>5.4244125168131889</v>
      </c>
      <c r="Q46" s="229">
        <f t="shared" si="7"/>
        <v>6.6016406667444576</v>
      </c>
      <c r="R46" s="144"/>
    </row>
    <row r="47" spans="2:18">
      <c r="B47" s="142">
        <f t="shared" si="4"/>
        <v>2025</v>
      </c>
      <c r="C47" s="19">
        <f t="shared" si="5"/>
        <v>6</v>
      </c>
      <c r="D47" s="143">
        <v>45809</v>
      </c>
      <c r="E47" s="19" t="str">
        <f t="shared" si="6"/>
        <v>6-2025</v>
      </c>
      <c r="F47" s="91">
        <f>'IEPR Gas Prices Real'!F49*(INDEX('GDP Deflator'!$D$6:$D$91,MATCH('IEPR Gas Prices Nominal'!$B47,'GDP Deflator'!$B$6:$B$91,0)))</f>
        <v>5.3192979722170675</v>
      </c>
      <c r="G47" s="91">
        <f>'IEPR Gas Prices Real'!G49*(INDEX('GDP Deflator'!$D$6:$D$91,MATCH('IEPR Gas Prices Nominal'!$B47,'GDP Deflator'!$B$6:$B$91,0)))</f>
        <v>1.0293312483438501</v>
      </c>
      <c r="H47" s="91">
        <f>'IEPR Gas Prices Real'!H49*(INDEX('GDP Deflator'!$D$6:$D$91,MATCH('IEPR Gas Prices Nominal'!$B47,'GDP Deflator'!$B$6:$B$91,0)))</f>
        <v>6.3486292205609169</v>
      </c>
      <c r="I47" s="91">
        <f>'IEPR Gas Prices Real'!I49*(INDEX('GDP Deflator'!$D$6:$D$91,MATCH('IEPR Gas Prices Nominal'!$B47,'GDP Deflator'!$B$6:$B$91,0)))</f>
        <v>5.5883798522515038</v>
      </c>
      <c r="J47" s="91">
        <f>'IEPR Gas Prices Real'!J49*(INDEX('GDP Deflator'!$D$6:$D$91,MATCH('IEPR Gas Prices Nominal'!$B47,'GDP Deflator'!$B$6:$B$91,0)))</f>
        <v>1.6996748204411647</v>
      </c>
      <c r="K47" s="91">
        <f>'IEPR Gas Prices Real'!K49*(INDEX('GDP Deflator'!$D$6:$D$91,MATCH('IEPR Gas Prices Nominal'!$B47,'GDP Deflator'!$B$6:$B$91,0)))</f>
        <v>7.2880546726926685</v>
      </c>
      <c r="L47" s="91">
        <f>'IEPR Gas Prices Real'!L49*(INDEX('GDP Deflator'!$D$6:$D$91,MATCH('IEPR Gas Prices Nominal'!$B47,'GDP Deflator'!$B$6:$B$91,0)))</f>
        <v>5.7867847739693765</v>
      </c>
      <c r="M47" s="91">
        <f>'IEPR Gas Prices Real'!M49*(INDEX('GDP Deflator'!$D$6:$D$91,MATCH('IEPR Gas Prices Nominal'!$B47,'GDP Deflator'!$B$6:$B$91,0)))</f>
        <v>0.80267838100879185</v>
      </c>
      <c r="N47" s="91">
        <f>'IEPR Gas Prices Real'!N49*(INDEX('GDP Deflator'!$D$6:$D$91,MATCH('IEPR Gas Prices Nominal'!$B47,'GDP Deflator'!$B$6:$B$91,0)))</f>
        <v>6.5894631549781684</v>
      </c>
      <c r="O47" s="19"/>
      <c r="P47" s="229">
        <f t="shared" si="0"/>
        <v>5.5648208661459826</v>
      </c>
      <c r="Q47" s="229">
        <f t="shared" si="7"/>
        <v>6.7420490160772522</v>
      </c>
      <c r="R47" s="144"/>
    </row>
    <row r="48" spans="2:18">
      <c r="B48" s="142">
        <f t="shared" si="4"/>
        <v>2025</v>
      </c>
      <c r="C48" s="19">
        <f t="shared" si="5"/>
        <v>7</v>
      </c>
      <c r="D48" s="143">
        <v>45839</v>
      </c>
      <c r="E48" s="19" t="str">
        <f t="shared" si="6"/>
        <v>7-2025</v>
      </c>
      <c r="F48" s="91">
        <f>'IEPR Gas Prices Real'!F50*(INDEX('GDP Deflator'!$D$6:$D$91,MATCH('IEPR Gas Prices Nominal'!$B48,'GDP Deflator'!$B$6:$B$91,0)))</f>
        <v>5.361660043489386</v>
      </c>
      <c r="G48" s="91">
        <f>'IEPR Gas Prices Real'!G50*(INDEX('GDP Deflator'!$D$6:$D$91,MATCH('IEPR Gas Prices Nominal'!$B48,'GDP Deflator'!$B$6:$B$91,0)))</f>
        <v>1.0293312483438501</v>
      </c>
      <c r="H48" s="91">
        <f>'IEPR Gas Prices Real'!H50*(INDEX('GDP Deflator'!$D$6:$D$91,MATCH('IEPR Gas Prices Nominal'!$B48,'GDP Deflator'!$B$6:$B$91,0)))</f>
        <v>6.3909912918332354</v>
      </c>
      <c r="I48" s="91">
        <f>'IEPR Gas Prices Real'!I50*(INDEX('GDP Deflator'!$D$6:$D$91,MATCH('IEPR Gas Prices Nominal'!$B48,'GDP Deflator'!$B$6:$B$91,0)))</f>
        <v>5.632870550026178</v>
      </c>
      <c r="J48" s="91">
        <f>'IEPR Gas Prices Real'!J50*(INDEX('GDP Deflator'!$D$6:$D$91,MATCH('IEPR Gas Prices Nominal'!$B48,'GDP Deflator'!$B$6:$B$91,0)))</f>
        <v>1.6996748204411647</v>
      </c>
      <c r="K48" s="91">
        <f>'IEPR Gas Prices Real'!K50*(INDEX('GDP Deflator'!$D$6:$D$91,MATCH('IEPR Gas Prices Nominal'!$B48,'GDP Deflator'!$B$6:$B$91,0)))</f>
        <v>7.3325453704673436</v>
      </c>
      <c r="L48" s="91">
        <f>'IEPR Gas Prices Real'!L50*(INDEX('GDP Deflator'!$D$6:$D$91,MATCH('IEPR Gas Prices Nominal'!$B48,'GDP Deflator'!$B$6:$B$91,0)))</f>
        <v>5.832909825136964</v>
      </c>
      <c r="M48" s="91">
        <f>'IEPR Gas Prices Real'!M50*(INDEX('GDP Deflator'!$D$6:$D$91,MATCH('IEPR Gas Prices Nominal'!$B48,'GDP Deflator'!$B$6:$B$91,0)))</f>
        <v>0.80267838100879185</v>
      </c>
      <c r="N48" s="91">
        <f>'IEPR Gas Prices Real'!N50*(INDEX('GDP Deflator'!$D$6:$D$91,MATCH('IEPR Gas Prices Nominal'!$B48,'GDP Deflator'!$B$6:$B$91,0)))</f>
        <v>6.6355882061457558</v>
      </c>
      <c r="O48" s="19"/>
      <c r="P48" s="229">
        <f t="shared" si="0"/>
        <v>5.6091468062175096</v>
      </c>
      <c r="Q48" s="229">
        <f t="shared" si="7"/>
        <v>6.7863749561487774</v>
      </c>
      <c r="R48" s="144"/>
    </row>
    <row r="49" spans="2:18">
      <c r="B49" s="142">
        <f t="shared" si="4"/>
        <v>2025</v>
      </c>
      <c r="C49" s="19">
        <f t="shared" si="5"/>
        <v>8</v>
      </c>
      <c r="D49" s="143">
        <v>45870</v>
      </c>
      <c r="E49" s="19" t="str">
        <f t="shared" si="6"/>
        <v>8-2025</v>
      </c>
      <c r="F49" s="91">
        <f>'IEPR Gas Prices Real'!F51*(INDEX('GDP Deflator'!$D$6:$D$91,MATCH('IEPR Gas Prices Nominal'!$B49,'GDP Deflator'!$B$6:$B$91,0)))</f>
        <v>5.3204067133091986</v>
      </c>
      <c r="G49" s="91">
        <f>'IEPR Gas Prices Real'!G51*(INDEX('GDP Deflator'!$D$6:$D$91,MATCH('IEPR Gas Prices Nominal'!$B49,'GDP Deflator'!$B$6:$B$91,0)))</f>
        <v>1.0293312483438501</v>
      </c>
      <c r="H49" s="91">
        <f>'IEPR Gas Prices Real'!H51*(INDEX('GDP Deflator'!$D$6:$D$91,MATCH('IEPR Gas Prices Nominal'!$B49,'GDP Deflator'!$B$6:$B$91,0)))</f>
        <v>6.349737961653048</v>
      </c>
      <c r="I49" s="91">
        <f>'IEPR Gas Prices Real'!I51*(INDEX('GDP Deflator'!$D$6:$D$91,MATCH('IEPR Gas Prices Nominal'!$B49,'GDP Deflator'!$B$6:$B$91,0)))</f>
        <v>5.5895162993758953</v>
      </c>
      <c r="J49" s="91">
        <f>'IEPR Gas Prices Real'!J51*(INDEX('GDP Deflator'!$D$6:$D$91,MATCH('IEPR Gas Prices Nominal'!$B49,'GDP Deflator'!$B$6:$B$91,0)))</f>
        <v>1.6996748204411647</v>
      </c>
      <c r="K49" s="91">
        <f>'IEPR Gas Prices Real'!K51*(INDEX('GDP Deflator'!$D$6:$D$91,MATCH('IEPR Gas Prices Nominal'!$B49,'GDP Deflator'!$B$6:$B$91,0)))</f>
        <v>7.28919111981706</v>
      </c>
      <c r="L49" s="91">
        <f>'IEPR Gas Prices Real'!L51*(INDEX('GDP Deflator'!$D$6:$D$91,MATCH('IEPR Gas Prices Nominal'!$B49,'GDP Deflator'!$B$6:$B$91,0)))</f>
        <v>5.7880703161807121</v>
      </c>
      <c r="M49" s="91">
        <f>'IEPR Gas Prices Real'!M51*(INDEX('GDP Deflator'!$D$6:$D$91,MATCH('IEPR Gas Prices Nominal'!$B49,'GDP Deflator'!$B$6:$B$91,0)))</f>
        <v>0.80267838100879185</v>
      </c>
      <c r="N49" s="91">
        <f>'IEPR Gas Prices Real'!N51*(INDEX('GDP Deflator'!$D$6:$D$91,MATCH('IEPR Gas Prices Nominal'!$B49,'GDP Deflator'!$B$6:$B$91,0)))</f>
        <v>6.5907486971895031</v>
      </c>
      <c r="O49" s="19"/>
      <c r="P49" s="229">
        <f t="shared" si="0"/>
        <v>5.5659977762886017</v>
      </c>
      <c r="Q49" s="229">
        <f t="shared" si="7"/>
        <v>6.7432259262198704</v>
      </c>
      <c r="R49" s="144"/>
    </row>
    <row r="50" spans="2:18">
      <c r="B50" s="142">
        <f t="shared" si="4"/>
        <v>2025</v>
      </c>
      <c r="C50" s="19">
        <f t="shared" si="5"/>
        <v>9</v>
      </c>
      <c r="D50" s="143">
        <v>45901</v>
      </c>
      <c r="E50" s="19" t="str">
        <f t="shared" si="6"/>
        <v>9-2025</v>
      </c>
      <c r="F50" s="91">
        <f>'IEPR Gas Prices Real'!F52*(INDEX('GDP Deflator'!$D$6:$D$91,MATCH('IEPR Gas Prices Nominal'!$B50,'GDP Deflator'!$B$6:$B$91,0)))</f>
        <v>5.3954057984032699</v>
      </c>
      <c r="G50" s="91">
        <f>'IEPR Gas Prices Real'!G52*(INDEX('GDP Deflator'!$D$6:$D$91,MATCH('IEPR Gas Prices Nominal'!$B50,'GDP Deflator'!$B$6:$B$91,0)))</f>
        <v>1.0293312483438501</v>
      </c>
      <c r="H50" s="91">
        <f>'IEPR Gas Prices Real'!H52*(INDEX('GDP Deflator'!$D$6:$D$91,MATCH('IEPR Gas Prices Nominal'!$B50,'GDP Deflator'!$B$6:$B$91,0)))</f>
        <v>6.4247370467471203</v>
      </c>
      <c r="I50" s="91">
        <f>'IEPR Gas Prices Real'!I52*(INDEX('GDP Deflator'!$D$6:$D$91,MATCH('IEPR Gas Prices Nominal'!$B50,'GDP Deflator'!$B$6:$B$91,0)))</f>
        <v>5.6682944954319661</v>
      </c>
      <c r="J50" s="91">
        <f>'IEPR Gas Prices Real'!J52*(INDEX('GDP Deflator'!$D$6:$D$91,MATCH('IEPR Gas Prices Nominal'!$B50,'GDP Deflator'!$B$6:$B$91,0)))</f>
        <v>1.6996748204411647</v>
      </c>
      <c r="K50" s="91">
        <f>'IEPR Gas Prices Real'!K52*(INDEX('GDP Deflator'!$D$6:$D$91,MATCH('IEPR Gas Prices Nominal'!$B50,'GDP Deflator'!$B$6:$B$91,0)))</f>
        <v>7.3679693158731308</v>
      </c>
      <c r="L50" s="91">
        <f>'IEPR Gas Prices Real'!L52*(INDEX('GDP Deflator'!$D$6:$D$91,MATCH('IEPR Gas Prices Nominal'!$B50,'GDP Deflator'!$B$6:$B$91,0)))</f>
        <v>5.8697020591980644</v>
      </c>
      <c r="M50" s="91">
        <f>'IEPR Gas Prices Real'!M52*(INDEX('GDP Deflator'!$D$6:$D$91,MATCH('IEPR Gas Prices Nominal'!$B50,'GDP Deflator'!$B$6:$B$91,0)))</f>
        <v>0.80267838100879185</v>
      </c>
      <c r="N50" s="91">
        <f>'IEPR Gas Prices Real'!N52*(INDEX('GDP Deflator'!$D$6:$D$91,MATCH('IEPR Gas Prices Nominal'!$B50,'GDP Deflator'!$B$6:$B$91,0)))</f>
        <v>6.6723804402068554</v>
      </c>
      <c r="O50" s="19"/>
      <c r="P50" s="229">
        <f t="shared" si="0"/>
        <v>5.6444674510111001</v>
      </c>
      <c r="Q50" s="229">
        <f t="shared" si="7"/>
        <v>6.8216956009423688</v>
      </c>
      <c r="R50" s="144"/>
    </row>
    <row r="51" spans="2:18">
      <c r="B51" s="142">
        <f t="shared" si="4"/>
        <v>2025</v>
      </c>
      <c r="C51" s="19">
        <f t="shared" si="5"/>
        <v>10</v>
      </c>
      <c r="D51" s="143">
        <v>45931</v>
      </c>
      <c r="E51" s="19" t="str">
        <f t="shared" si="6"/>
        <v>10-2025</v>
      </c>
      <c r="F51" s="91">
        <f>'IEPR Gas Prices Real'!F53*(INDEX('GDP Deflator'!$D$6:$D$91,MATCH('IEPR Gas Prices Nominal'!$B51,'GDP Deflator'!$B$6:$B$91,0)))</f>
        <v>5.3644767280385519</v>
      </c>
      <c r="G51" s="91">
        <f>'IEPR Gas Prices Real'!G53*(INDEX('GDP Deflator'!$D$6:$D$91,MATCH('IEPR Gas Prices Nominal'!$B51,'GDP Deflator'!$B$6:$B$91,0)))</f>
        <v>1.0293312483438501</v>
      </c>
      <c r="H51" s="91">
        <f>'IEPR Gas Prices Real'!H53*(INDEX('GDP Deflator'!$D$6:$D$91,MATCH('IEPR Gas Prices Nominal'!$B51,'GDP Deflator'!$B$6:$B$91,0)))</f>
        <v>6.3938079763824014</v>
      </c>
      <c r="I51" s="91">
        <f>'IEPR Gas Prices Real'!I53*(INDEX('GDP Deflator'!$D$6:$D$91,MATCH('IEPR Gas Prices Nominal'!$B51,'GDP Deflator'!$B$6:$B$91,0)))</f>
        <v>5.6357867866028597</v>
      </c>
      <c r="J51" s="91">
        <f>'IEPR Gas Prices Real'!J53*(INDEX('GDP Deflator'!$D$6:$D$91,MATCH('IEPR Gas Prices Nominal'!$B51,'GDP Deflator'!$B$6:$B$91,0)))</f>
        <v>1.6996748204411647</v>
      </c>
      <c r="K51" s="91">
        <f>'IEPR Gas Prices Real'!K53*(INDEX('GDP Deflator'!$D$6:$D$91,MATCH('IEPR Gas Prices Nominal'!$B51,'GDP Deflator'!$B$6:$B$91,0)))</f>
        <v>7.3354616070440253</v>
      </c>
      <c r="L51" s="91">
        <f>'IEPR Gas Prices Real'!L53*(INDEX('GDP Deflator'!$D$6:$D$91,MATCH('IEPR Gas Prices Nominal'!$B51,'GDP Deflator'!$B$6:$B$91,0)))</f>
        <v>5.8360941043972039</v>
      </c>
      <c r="M51" s="91">
        <f>'IEPR Gas Prices Real'!M53*(INDEX('GDP Deflator'!$D$6:$D$91,MATCH('IEPR Gas Prices Nominal'!$B51,'GDP Deflator'!$B$6:$B$91,0)))</f>
        <v>0.80267838100879185</v>
      </c>
      <c r="N51" s="91">
        <f>'IEPR Gas Prices Real'!N53*(INDEX('GDP Deflator'!$D$6:$D$91,MATCH('IEPR Gas Prices Nominal'!$B51,'GDP Deflator'!$B$6:$B$91,0)))</f>
        <v>6.6387724854059957</v>
      </c>
      <c r="O51" s="19"/>
      <c r="P51" s="229">
        <f t="shared" si="0"/>
        <v>5.6121192063462049</v>
      </c>
      <c r="Q51" s="229">
        <f t="shared" si="7"/>
        <v>6.7893473562774744</v>
      </c>
      <c r="R51" s="144"/>
    </row>
    <row r="52" spans="2:18">
      <c r="B52" s="142">
        <f t="shared" si="4"/>
        <v>2025</v>
      </c>
      <c r="C52" s="19">
        <f t="shared" si="5"/>
        <v>11</v>
      </c>
      <c r="D52" s="143">
        <v>45962</v>
      </c>
      <c r="E52" s="19" t="str">
        <f t="shared" si="6"/>
        <v>11-2025</v>
      </c>
      <c r="F52" s="91">
        <f>'IEPR Gas Prices Real'!F54*(INDEX('GDP Deflator'!$D$6:$D$91,MATCH('IEPR Gas Prices Nominal'!$B52,'GDP Deflator'!$B$6:$B$91,0)))</f>
        <v>5.6297958924428908</v>
      </c>
      <c r="G52" s="91">
        <f>'IEPR Gas Prices Real'!G54*(INDEX('GDP Deflator'!$D$6:$D$91,MATCH('IEPR Gas Prices Nominal'!$B52,'GDP Deflator'!$B$6:$B$91,0)))</f>
        <v>1.0293312483438501</v>
      </c>
      <c r="H52" s="91">
        <f>'IEPR Gas Prices Real'!H54*(INDEX('GDP Deflator'!$D$6:$D$91,MATCH('IEPR Gas Prices Nominal'!$B52,'GDP Deflator'!$B$6:$B$91,0)))</f>
        <v>6.6591271407867412</v>
      </c>
      <c r="I52" s="91">
        <f>'IEPR Gas Prices Real'!I54*(INDEX('GDP Deflator'!$D$6:$D$91,MATCH('IEPR Gas Prices Nominal'!$B52,'GDP Deflator'!$B$6:$B$91,0)))</f>
        <v>5.9145095324877817</v>
      </c>
      <c r="J52" s="91">
        <f>'IEPR Gas Prices Real'!J54*(INDEX('GDP Deflator'!$D$6:$D$91,MATCH('IEPR Gas Prices Nominal'!$B52,'GDP Deflator'!$B$6:$B$91,0)))</f>
        <v>1.6996748204411647</v>
      </c>
      <c r="K52" s="91">
        <f>'IEPR Gas Prices Real'!K54*(INDEX('GDP Deflator'!$D$6:$D$91,MATCH('IEPR Gas Prices Nominal'!$B52,'GDP Deflator'!$B$6:$B$91,0)))</f>
        <v>7.6141843529289472</v>
      </c>
      <c r="L52" s="91">
        <f>'IEPR Gas Prices Real'!L54*(INDEX('GDP Deflator'!$D$6:$D$91,MATCH('IEPR Gas Prices Nominal'!$B52,'GDP Deflator'!$B$6:$B$91,0)))</f>
        <v>6.1247807642179195</v>
      </c>
      <c r="M52" s="91">
        <f>'IEPR Gas Prices Real'!M54*(INDEX('GDP Deflator'!$D$6:$D$91,MATCH('IEPR Gas Prices Nominal'!$B52,'GDP Deflator'!$B$6:$B$91,0)))</f>
        <v>0.80267838100879185</v>
      </c>
      <c r="N52" s="91">
        <f>'IEPR Gas Prices Real'!N54*(INDEX('GDP Deflator'!$D$6:$D$91,MATCH('IEPR Gas Prices Nominal'!$B52,'GDP Deflator'!$B$6:$B$91,0)))</f>
        <v>6.9274591452267114</v>
      </c>
      <c r="O52" s="19"/>
      <c r="P52" s="229">
        <f t="shared" si="0"/>
        <v>5.8896953963828649</v>
      </c>
      <c r="Q52" s="229">
        <f t="shared" si="7"/>
        <v>7.0669235463141336</v>
      </c>
      <c r="R52" s="144"/>
    </row>
    <row r="53" spans="2:18">
      <c r="B53" s="142">
        <f t="shared" si="4"/>
        <v>2025</v>
      </c>
      <c r="C53" s="19">
        <f t="shared" si="5"/>
        <v>12</v>
      </c>
      <c r="D53" s="143">
        <v>45992</v>
      </c>
      <c r="E53" s="19" t="str">
        <f t="shared" si="6"/>
        <v>12-2025</v>
      </c>
      <c r="F53" s="91">
        <f>'IEPR Gas Prices Real'!F55*(INDEX('GDP Deflator'!$D$6:$D$91,MATCH('IEPR Gas Prices Nominal'!$B53,'GDP Deflator'!$B$6:$B$91,0)))</f>
        <v>5.6752504030613151</v>
      </c>
      <c r="G53" s="91">
        <f>'IEPR Gas Prices Real'!G55*(INDEX('GDP Deflator'!$D$6:$D$91,MATCH('IEPR Gas Prices Nominal'!$B53,'GDP Deflator'!$B$6:$B$91,0)))</f>
        <v>1.0293312483438501</v>
      </c>
      <c r="H53" s="91">
        <f>'IEPR Gas Prices Real'!H55*(INDEX('GDP Deflator'!$D$6:$D$91,MATCH('IEPR Gas Prices Nominal'!$B53,'GDP Deflator'!$B$6:$B$91,0)))</f>
        <v>6.7045816514051646</v>
      </c>
      <c r="I53" s="91">
        <f>'IEPR Gas Prices Real'!I55*(INDEX('GDP Deflator'!$D$6:$D$91,MATCH('IEPR Gas Prices Nominal'!$B53,'GDP Deflator'!$B$6:$B$91,0)))</f>
        <v>5.9622476593361329</v>
      </c>
      <c r="J53" s="91">
        <f>'IEPR Gas Prices Real'!J55*(INDEX('GDP Deflator'!$D$6:$D$91,MATCH('IEPR Gas Prices Nominal'!$B53,'GDP Deflator'!$B$6:$B$91,0)))</f>
        <v>1.6996748204411647</v>
      </c>
      <c r="K53" s="91">
        <f>'IEPR Gas Prices Real'!K55*(INDEX('GDP Deflator'!$D$6:$D$91,MATCH('IEPR Gas Prices Nominal'!$B53,'GDP Deflator'!$B$6:$B$91,0)))</f>
        <v>7.6619224797772985</v>
      </c>
      <c r="L53" s="91">
        <f>'IEPR Gas Prices Real'!L55*(INDEX('GDP Deflator'!$D$6:$D$91,MATCH('IEPR Gas Prices Nominal'!$B53,'GDP Deflator'!$B$6:$B$91,0)))</f>
        <v>6.1742740726480143</v>
      </c>
      <c r="M53" s="91">
        <f>'IEPR Gas Prices Real'!M55*(INDEX('GDP Deflator'!$D$6:$D$91,MATCH('IEPR Gas Prices Nominal'!$B53,'GDP Deflator'!$B$6:$B$91,0)))</f>
        <v>0.80267838100879185</v>
      </c>
      <c r="N53" s="91">
        <f>'IEPR Gas Prices Real'!N55*(INDEX('GDP Deflator'!$D$6:$D$91,MATCH('IEPR Gas Prices Nominal'!$B53,'GDP Deflator'!$B$6:$B$91,0)))</f>
        <v>6.9769524536568062</v>
      </c>
      <c r="O53" s="19"/>
      <c r="P53" s="229">
        <f t="shared" si="0"/>
        <v>5.9372573783484874</v>
      </c>
      <c r="Q53" s="229">
        <f t="shared" si="7"/>
        <v>7.114485528279757</v>
      </c>
      <c r="R53" s="144"/>
    </row>
    <row r="54" spans="2:18">
      <c r="B54" s="142">
        <f t="shared" si="4"/>
        <v>2026</v>
      </c>
      <c r="C54" s="19">
        <f t="shared" si="5"/>
        <v>1</v>
      </c>
      <c r="D54" s="143">
        <v>46023</v>
      </c>
      <c r="E54" s="19" t="str">
        <f t="shared" si="6"/>
        <v>1-2026</v>
      </c>
      <c r="F54" s="91">
        <f>'IEPR Gas Prices Real'!F56*(INDEX('GDP Deflator'!$D$6:$D$91,MATCH('IEPR Gas Prices Nominal'!$B54,'GDP Deflator'!$B$6:$B$91,0)))</f>
        <v>5.8065769743799933</v>
      </c>
      <c r="G54" s="91">
        <f>'IEPR Gas Prices Real'!G56*(INDEX('GDP Deflator'!$D$6:$D$91,MATCH('IEPR Gas Prices Nominal'!$B54,'GDP Deflator'!$B$6:$B$91,0)))</f>
        <v>1.0952467402850963</v>
      </c>
      <c r="H54" s="91">
        <f>'IEPR Gas Prices Real'!H56*(INDEX('GDP Deflator'!$D$6:$D$91,MATCH('IEPR Gas Prices Nominal'!$B54,'GDP Deflator'!$B$6:$B$91,0)))</f>
        <v>6.90182371466509</v>
      </c>
      <c r="I54" s="91">
        <f>'IEPR Gas Prices Real'!I56*(INDEX('GDP Deflator'!$D$6:$D$91,MATCH('IEPR Gas Prices Nominal'!$B54,'GDP Deflator'!$B$6:$B$91,0)))</f>
        <v>6.100167211929965</v>
      </c>
      <c r="J54" s="91">
        <f>'IEPR Gas Prices Real'!J56*(INDEX('GDP Deflator'!$D$6:$D$91,MATCH('IEPR Gas Prices Nominal'!$B54,'GDP Deflator'!$B$6:$B$91,0)))</f>
        <v>1.8085172383797896</v>
      </c>
      <c r="K54" s="91">
        <f>'IEPR Gas Prices Real'!K56*(INDEX('GDP Deflator'!$D$6:$D$91,MATCH('IEPR Gas Prices Nominal'!$B54,'GDP Deflator'!$B$6:$B$91,0)))</f>
        <v>7.9086844503097549</v>
      </c>
      <c r="L54" s="91">
        <f>'IEPR Gas Prices Real'!L56*(INDEX('GDP Deflator'!$D$6:$D$91,MATCH('IEPR Gas Prices Nominal'!$B54,'GDP Deflator'!$B$6:$B$91,0)))</f>
        <v>6.3171534716885418</v>
      </c>
      <c r="M54" s="91">
        <f>'IEPR Gas Prices Real'!M56*(INDEX('GDP Deflator'!$D$6:$D$91,MATCH('IEPR Gas Prices Nominal'!$B54,'GDP Deflator'!$B$6:$B$91,0)))</f>
        <v>0.85407965775029315</v>
      </c>
      <c r="N54" s="91">
        <f>'IEPR Gas Prices Real'!N56*(INDEX('GDP Deflator'!$D$6:$D$91,MATCH('IEPR Gas Prices Nominal'!$B54,'GDP Deflator'!$B$6:$B$91,0)))</f>
        <v>7.1712331294388347</v>
      </c>
      <c r="O54" s="19"/>
      <c r="P54" s="229">
        <f t="shared" si="0"/>
        <v>6.0746325526661664</v>
      </c>
      <c r="Q54" s="229">
        <f t="shared" si="7"/>
        <v>7.3272470981378932</v>
      </c>
      <c r="R54" s="144"/>
    </row>
    <row r="55" spans="2:18">
      <c r="B55" s="142">
        <f t="shared" si="4"/>
        <v>2026</v>
      </c>
      <c r="C55" s="19">
        <f t="shared" si="5"/>
        <v>2</v>
      </c>
      <c r="D55" s="143">
        <v>46054</v>
      </c>
      <c r="E55" s="19" t="str">
        <f t="shared" si="6"/>
        <v>2-2026</v>
      </c>
      <c r="F55" s="91">
        <f>'IEPR Gas Prices Real'!F57*(INDEX('GDP Deflator'!$D$6:$D$91,MATCH('IEPR Gas Prices Nominal'!$B55,'GDP Deflator'!$B$6:$B$91,0)))</f>
        <v>5.6790885933507971</v>
      </c>
      <c r="G55" s="91">
        <f>'IEPR Gas Prices Real'!G57*(INDEX('GDP Deflator'!$D$6:$D$91,MATCH('IEPR Gas Prices Nominal'!$B55,'GDP Deflator'!$B$6:$B$91,0)))</f>
        <v>1.0952467402850963</v>
      </c>
      <c r="H55" s="91">
        <f>'IEPR Gas Prices Real'!H57*(INDEX('GDP Deflator'!$D$6:$D$91,MATCH('IEPR Gas Prices Nominal'!$B55,'GDP Deflator'!$B$6:$B$91,0)))</f>
        <v>6.7743353336358938</v>
      </c>
      <c r="I55" s="91">
        <f>'IEPR Gas Prices Real'!I57*(INDEX('GDP Deflator'!$D$6:$D$91,MATCH('IEPR Gas Prices Nominal'!$B55,'GDP Deflator'!$B$6:$B$91,0)))</f>
        <v>5.9661856568155738</v>
      </c>
      <c r="J55" s="91">
        <f>'IEPR Gas Prices Real'!J57*(INDEX('GDP Deflator'!$D$6:$D$91,MATCH('IEPR Gas Prices Nominal'!$B55,'GDP Deflator'!$B$6:$B$91,0)))</f>
        <v>1.8085172383797896</v>
      </c>
      <c r="K55" s="91">
        <f>'IEPR Gas Prices Real'!K57*(INDEX('GDP Deflator'!$D$6:$D$91,MATCH('IEPR Gas Prices Nominal'!$B55,'GDP Deflator'!$B$6:$B$91,0)))</f>
        <v>7.7747028951953636</v>
      </c>
      <c r="L55" s="91">
        <f>'IEPR Gas Prices Real'!L57*(INDEX('GDP Deflator'!$D$6:$D$91,MATCH('IEPR Gas Prices Nominal'!$B55,'GDP Deflator'!$B$6:$B$91,0)))</f>
        <v>6.1784601373992514</v>
      </c>
      <c r="M55" s="91">
        <f>'IEPR Gas Prices Real'!M57*(INDEX('GDP Deflator'!$D$6:$D$91,MATCH('IEPR Gas Prices Nominal'!$B55,'GDP Deflator'!$B$6:$B$91,0)))</f>
        <v>0.85407965775029315</v>
      </c>
      <c r="N55" s="91">
        <f>'IEPR Gas Prices Real'!N57*(INDEX('GDP Deflator'!$D$6:$D$91,MATCH('IEPR Gas Prices Nominal'!$B55,'GDP Deflator'!$B$6:$B$91,0)))</f>
        <v>7.0325397951495443</v>
      </c>
      <c r="O55" s="19"/>
      <c r="P55" s="229">
        <f t="shared" si="0"/>
        <v>5.9412447958552077</v>
      </c>
      <c r="Q55" s="229">
        <f t="shared" si="7"/>
        <v>7.1938593413269345</v>
      </c>
      <c r="R55" s="144"/>
    </row>
    <row r="56" spans="2:18">
      <c r="B56" s="142">
        <f t="shared" si="4"/>
        <v>2026</v>
      </c>
      <c r="C56" s="19">
        <f t="shared" si="5"/>
        <v>3</v>
      </c>
      <c r="D56" s="143">
        <v>46082</v>
      </c>
      <c r="E56" s="19" t="str">
        <f t="shared" si="6"/>
        <v>3-2026</v>
      </c>
      <c r="F56" s="91">
        <f>'IEPR Gas Prices Real'!F58*(INDEX('GDP Deflator'!$D$6:$D$91,MATCH('IEPR Gas Prices Nominal'!$B56,'GDP Deflator'!$B$6:$B$91,0)))</f>
        <v>5.2132538504273311</v>
      </c>
      <c r="G56" s="91">
        <f>'IEPR Gas Prices Real'!G58*(INDEX('GDP Deflator'!$D$6:$D$91,MATCH('IEPR Gas Prices Nominal'!$B56,'GDP Deflator'!$B$6:$B$91,0)))</f>
        <v>1.0952467402850963</v>
      </c>
      <c r="H56" s="91">
        <f>'IEPR Gas Prices Real'!H58*(INDEX('GDP Deflator'!$D$6:$D$91,MATCH('IEPR Gas Prices Nominal'!$B56,'GDP Deflator'!$B$6:$B$91,0)))</f>
        <v>6.3085005907124279</v>
      </c>
      <c r="I56" s="91">
        <f>'IEPR Gas Prices Real'!I58*(INDEX('GDP Deflator'!$D$6:$D$91,MATCH('IEPR Gas Prices Nominal'!$B56,'GDP Deflator'!$B$6:$B$91,0)))</f>
        <v>5.476758110694214</v>
      </c>
      <c r="J56" s="91">
        <f>'IEPR Gas Prices Real'!J58*(INDEX('GDP Deflator'!$D$6:$D$91,MATCH('IEPR Gas Prices Nominal'!$B56,'GDP Deflator'!$B$6:$B$91,0)))</f>
        <v>1.8085172383797896</v>
      </c>
      <c r="K56" s="91">
        <f>'IEPR Gas Prices Real'!K58*(INDEX('GDP Deflator'!$D$6:$D$91,MATCH('IEPR Gas Prices Nominal'!$B56,'GDP Deflator'!$B$6:$B$91,0)))</f>
        <v>7.2852753490740039</v>
      </c>
      <c r="L56" s="91">
        <f>'IEPR Gas Prices Real'!L58*(INDEX('GDP Deflator'!$D$6:$D$91,MATCH('IEPR Gas Prices Nominal'!$B56,'GDP Deflator'!$B$6:$B$91,0)))</f>
        <v>5.6716685507626003</v>
      </c>
      <c r="M56" s="91">
        <f>'IEPR Gas Prices Real'!M58*(INDEX('GDP Deflator'!$D$6:$D$91,MATCH('IEPR Gas Prices Nominal'!$B56,'GDP Deflator'!$B$6:$B$91,0)))</f>
        <v>0.85407965775029315</v>
      </c>
      <c r="N56" s="91">
        <f>'IEPR Gas Prices Real'!N58*(INDEX('GDP Deflator'!$D$6:$D$91,MATCH('IEPR Gas Prices Nominal'!$B56,'GDP Deflator'!$B$6:$B$91,0)))</f>
        <v>6.5257482085128933</v>
      </c>
      <c r="O56" s="19"/>
      <c r="P56" s="229">
        <f t="shared" si="0"/>
        <v>5.4538935039613818</v>
      </c>
      <c r="Q56" s="229">
        <f t="shared" si="7"/>
        <v>6.7065080494331086</v>
      </c>
      <c r="R56" s="144"/>
    </row>
    <row r="57" spans="2:18">
      <c r="B57" s="142">
        <f t="shared" si="4"/>
        <v>2026</v>
      </c>
      <c r="C57" s="19">
        <f t="shared" si="5"/>
        <v>4</v>
      </c>
      <c r="D57" s="143">
        <v>46113</v>
      </c>
      <c r="E57" s="19" t="str">
        <f t="shared" si="6"/>
        <v>4-2026</v>
      </c>
      <c r="F57" s="91">
        <f>'IEPR Gas Prices Real'!F59*(INDEX('GDP Deflator'!$D$6:$D$91,MATCH('IEPR Gas Prices Nominal'!$B57,'GDP Deflator'!$B$6:$B$91,0)))</f>
        <v>5.1243861290558899</v>
      </c>
      <c r="G57" s="91">
        <f>'IEPR Gas Prices Real'!G59*(INDEX('GDP Deflator'!$D$6:$D$91,MATCH('IEPR Gas Prices Nominal'!$B57,'GDP Deflator'!$B$6:$B$91,0)))</f>
        <v>1.0952467402850963</v>
      </c>
      <c r="H57" s="91">
        <f>'IEPR Gas Prices Real'!H59*(INDEX('GDP Deflator'!$D$6:$D$91,MATCH('IEPR Gas Prices Nominal'!$B57,'GDP Deflator'!$B$6:$B$91,0)))</f>
        <v>6.2196328693409857</v>
      </c>
      <c r="I57" s="91">
        <f>'IEPR Gas Prices Real'!I59*(INDEX('GDP Deflator'!$D$6:$D$91,MATCH('IEPR Gas Prices Nominal'!$B57,'GDP Deflator'!$B$6:$B$91,0)))</f>
        <v>5.383356008782088</v>
      </c>
      <c r="J57" s="91">
        <f>'IEPR Gas Prices Real'!J59*(INDEX('GDP Deflator'!$D$6:$D$91,MATCH('IEPR Gas Prices Nominal'!$B57,'GDP Deflator'!$B$6:$B$91,0)))</f>
        <v>1.8085172383797896</v>
      </c>
      <c r="K57" s="91">
        <f>'IEPR Gas Prices Real'!K59*(INDEX('GDP Deflator'!$D$6:$D$91,MATCH('IEPR Gas Prices Nominal'!$B57,'GDP Deflator'!$B$6:$B$91,0)))</f>
        <v>7.1918732471618778</v>
      </c>
      <c r="L57" s="91">
        <f>'IEPR Gas Prices Real'!L59*(INDEX('GDP Deflator'!$D$6:$D$91,MATCH('IEPR Gas Prices Nominal'!$B57,'GDP Deflator'!$B$6:$B$91,0)))</f>
        <v>5.5749911503118996</v>
      </c>
      <c r="M57" s="91">
        <f>'IEPR Gas Prices Real'!M59*(INDEX('GDP Deflator'!$D$6:$D$91,MATCH('IEPR Gas Prices Nominal'!$B57,'GDP Deflator'!$B$6:$B$91,0)))</f>
        <v>0.85407965775029315</v>
      </c>
      <c r="N57" s="91">
        <f>'IEPR Gas Prices Real'!N59*(INDEX('GDP Deflator'!$D$6:$D$91,MATCH('IEPR Gas Prices Nominal'!$B57,'GDP Deflator'!$B$6:$B$91,0)))</f>
        <v>6.4290708080621926</v>
      </c>
      <c r="O57" s="19"/>
      <c r="P57" s="229">
        <f t="shared" si="0"/>
        <v>5.3609110960499597</v>
      </c>
      <c r="Q57" s="229">
        <f t="shared" si="7"/>
        <v>6.6135256415216856</v>
      </c>
      <c r="R57" s="144"/>
    </row>
    <row r="58" spans="2:18">
      <c r="B58" s="142">
        <f t="shared" si="4"/>
        <v>2026</v>
      </c>
      <c r="C58" s="19">
        <f t="shared" si="5"/>
        <v>5</v>
      </c>
      <c r="D58" s="143">
        <v>46143</v>
      </c>
      <c r="E58" s="19" t="str">
        <f t="shared" si="6"/>
        <v>5-2026</v>
      </c>
      <c r="F58" s="91">
        <f>'IEPR Gas Prices Real'!F60*(INDEX('GDP Deflator'!$D$6:$D$91,MATCH('IEPR Gas Prices Nominal'!$B58,'GDP Deflator'!$B$6:$B$91,0)))</f>
        <v>5.3025623848621439</v>
      </c>
      <c r="G58" s="91">
        <f>'IEPR Gas Prices Real'!G60*(INDEX('GDP Deflator'!$D$6:$D$91,MATCH('IEPR Gas Prices Nominal'!$B58,'GDP Deflator'!$B$6:$B$91,0)))</f>
        <v>1.0952467402850963</v>
      </c>
      <c r="H58" s="91">
        <f>'IEPR Gas Prices Real'!H60*(INDEX('GDP Deflator'!$D$6:$D$91,MATCH('IEPR Gas Prices Nominal'!$B58,'GDP Deflator'!$B$6:$B$91,0)))</f>
        <v>6.3978091251472398</v>
      </c>
      <c r="I58" s="91">
        <f>'IEPR Gas Prices Real'!I60*(INDEX('GDP Deflator'!$D$6:$D$91,MATCH('IEPR Gas Prices Nominal'!$B58,'GDP Deflator'!$B$6:$B$91,0)))</f>
        <v>5.5704926737247309</v>
      </c>
      <c r="J58" s="91">
        <f>'IEPR Gas Prices Real'!J60*(INDEX('GDP Deflator'!$D$6:$D$91,MATCH('IEPR Gas Prices Nominal'!$B58,'GDP Deflator'!$B$6:$B$91,0)))</f>
        <v>1.8085172383797896</v>
      </c>
      <c r="K58" s="91">
        <f>'IEPR Gas Prices Real'!K60*(INDEX('GDP Deflator'!$D$6:$D$91,MATCH('IEPR Gas Prices Nominal'!$B58,'GDP Deflator'!$B$6:$B$91,0)))</f>
        <v>7.3790099121045207</v>
      </c>
      <c r="L58" s="91">
        <f>'IEPR Gas Prices Real'!L60*(INDEX('GDP Deflator'!$D$6:$D$91,MATCH('IEPR Gas Prices Nominal'!$B58,'GDP Deflator'!$B$6:$B$91,0)))</f>
        <v>5.7688399112725541</v>
      </c>
      <c r="M58" s="91">
        <f>'IEPR Gas Prices Real'!M60*(INDEX('GDP Deflator'!$D$6:$D$91,MATCH('IEPR Gas Prices Nominal'!$B58,'GDP Deflator'!$B$6:$B$91,0)))</f>
        <v>0.85407965775029315</v>
      </c>
      <c r="N58" s="91">
        <f>'IEPR Gas Prices Real'!N60*(INDEX('GDP Deflator'!$D$6:$D$91,MATCH('IEPR Gas Prices Nominal'!$B58,'GDP Deflator'!$B$6:$B$91,0)))</f>
        <v>6.6229195690228471</v>
      </c>
      <c r="O58" s="19"/>
      <c r="P58" s="229">
        <f t="shared" si="0"/>
        <v>5.5472983232864763</v>
      </c>
      <c r="Q58" s="229">
        <f t="shared" si="7"/>
        <v>6.7999128687582022</v>
      </c>
      <c r="R58" s="144"/>
    </row>
    <row r="59" spans="2:18">
      <c r="B59" s="142">
        <f t="shared" si="4"/>
        <v>2026</v>
      </c>
      <c r="C59" s="19">
        <f t="shared" si="5"/>
        <v>6</v>
      </c>
      <c r="D59" s="143">
        <v>46174</v>
      </c>
      <c r="E59" s="19" t="str">
        <f t="shared" si="6"/>
        <v>6-2026</v>
      </c>
      <c r="F59" s="91">
        <f>'IEPR Gas Prices Real'!F61*(INDEX('GDP Deflator'!$D$6:$D$91,MATCH('IEPR Gas Prices Nominal'!$B59,'GDP Deflator'!$B$6:$B$91,0)))</f>
        <v>5.4394734409500192</v>
      </c>
      <c r="G59" s="91">
        <f>'IEPR Gas Prices Real'!G61*(INDEX('GDP Deflator'!$D$6:$D$91,MATCH('IEPR Gas Prices Nominal'!$B59,'GDP Deflator'!$B$6:$B$91,0)))</f>
        <v>1.0952467402850963</v>
      </c>
      <c r="H59" s="91">
        <f>'IEPR Gas Prices Real'!H61*(INDEX('GDP Deflator'!$D$6:$D$91,MATCH('IEPR Gas Prices Nominal'!$B59,'GDP Deflator'!$B$6:$B$91,0)))</f>
        <v>6.5347201812351159</v>
      </c>
      <c r="I59" s="91">
        <f>'IEPR Gas Prices Real'!I61*(INDEX('GDP Deflator'!$D$6:$D$91,MATCH('IEPR Gas Prices Nominal'!$B59,'GDP Deflator'!$B$6:$B$91,0)))</f>
        <v>5.7142764484777535</v>
      </c>
      <c r="J59" s="91">
        <f>'IEPR Gas Prices Real'!J61*(INDEX('GDP Deflator'!$D$6:$D$91,MATCH('IEPR Gas Prices Nominal'!$B59,'GDP Deflator'!$B$6:$B$91,0)))</f>
        <v>1.8085172383797896</v>
      </c>
      <c r="K59" s="91">
        <f>'IEPR Gas Prices Real'!K61*(INDEX('GDP Deflator'!$D$6:$D$91,MATCH('IEPR Gas Prices Nominal'!$B59,'GDP Deflator'!$B$6:$B$91,0)))</f>
        <v>7.5227936868575442</v>
      </c>
      <c r="L59" s="91">
        <f>'IEPR Gas Prices Real'!L61*(INDEX('GDP Deflator'!$D$6:$D$91,MATCH('IEPR Gas Prices Nominal'!$B59,'GDP Deflator'!$B$6:$B$91,0)))</f>
        <v>5.9177951317489113</v>
      </c>
      <c r="M59" s="91">
        <f>'IEPR Gas Prices Real'!M61*(INDEX('GDP Deflator'!$D$6:$D$91,MATCH('IEPR Gas Prices Nominal'!$B59,'GDP Deflator'!$B$6:$B$91,0)))</f>
        <v>0.85407965775029315</v>
      </c>
      <c r="N59" s="91">
        <f>'IEPR Gas Prices Real'!N61*(INDEX('GDP Deflator'!$D$6:$D$91,MATCH('IEPR Gas Prices Nominal'!$B59,'GDP Deflator'!$B$6:$B$91,0)))</f>
        <v>6.7718747894992042</v>
      </c>
      <c r="O59" s="19"/>
      <c r="P59" s="229">
        <f t="shared" si="0"/>
        <v>5.6905150070588943</v>
      </c>
      <c r="Q59" s="229">
        <f t="shared" si="7"/>
        <v>6.9431295525306211</v>
      </c>
      <c r="R59" s="144"/>
    </row>
    <row r="60" spans="2:18">
      <c r="B60" s="142">
        <f t="shared" si="4"/>
        <v>2026</v>
      </c>
      <c r="C60" s="19">
        <f t="shared" si="5"/>
        <v>7</v>
      </c>
      <c r="D60" s="143">
        <v>46204</v>
      </c>
      <c r="E60" s="19" t="str">
        <f t="shared" si="6"/>
        <v>7-2026</v>
      </c>
      <c r="F60" s="91">
        <f>'IEPR Gas Prices Real'!F62*(INDEX('GDP Deflator'!$D$6:$D$91,MATCH('IEPR Gas Prices Nominal'!$B60,'GDP Deflator'!$B$6:$B$91,0)))</f>
        <v>5.4824549390756809</v>
      </c>
      <c r="G60" s="91">
        <f>'IEPR Gas Prices Real'!G62*(INDEX('GDP Deflator'!$D$6:$D$91,MATCH('IEPR Gas Prices Nominal'!$B60,'GDP Deflator'!$B$6:$B$91,0)))</f>
        <v>1.0952467402850963</v>
      </c>
      <c r="H60" s="91">
        <f>'IEPR Gas Prices Real'!H62*(INDEX('GDP Deflator'!$D$6:$D$91,MATCH('IEPR Gas Prices Nominal'!$B60,'GDP Deflator'!$B$6:$B$91,0)))</f>
        <v>6.5777016793607768</v>
      </c>
      <c r="I60" s="91">
        <f>'IEPR Gas Prices Real'!I62*(INDEX('GDP Deflator'!$D$6:$D$91,MATCH('IEPR Gas Prices Nominal'!$B60,'GDP Deflator'!$B$6:$B$91,0)))</f>
        <v>5.7593838289951931</v>
      </c>
      <c r="J60" s="91">
        <f>'IEPR Gas Prices Real'!J62*(INDEX('GDP Deflator'!$D$6:$D$91,MATCH('IEPR Gas Prices Nominal'!$B60,'GDP Deflator'!$B$6:$B$91,0)))</f>
        <v>1.8085172383797896</v>
      </c>
      <c r="K60" s="91">
        <f>'IEPR Gas Prices Real'!K62*(INDEX('GDP Deflator'!$D$6:$D$91,MATCH('IEPR Gas Prices Nominal'!$B60,'GDP Deflator'!$B$6:$B$91,0)))</f>
        <v>7.5679010673749829</v>
      </c>
      <c r="L60" s="91">
        <f>'IEPR Gas Prices Real'!L62*(INDEX('GDP Deflator'!$D$6:$D$91,MATCH('IEPR Gas Prices Nominal'!$B60,'GDP Deflator'!$B$6:$B$91,0)))</f>
        <v>5.9645612363543838</v>
      </c>
      <c r="M60" s="91">
        <f>'IEPR Gas Prices Real'!M62*(INDEX('GDP Deflator'!$D$6:$D$91,MATCH('IEPR Gas Prices Nominal'!$B60,'GDP Deflator'!$B$6:$B$91,0)))</f>
        <v>0.85407965775029315</v>
      </c>
      <c r="N60" s="91">
        <f>'IEPR Gas Prices Real'!N62*(INDEX('GDP Deflator'!$D$6:$D$91,MATCH('IEPR Gas Prices Nominal'!$B60,'GDP Deflator'!$B$6:$B$91,0)))</f>
        <v>6.8186408941046768</v>
      </c>
      <c r="O60" s="19"/>
      <c r="P60" s="229">
        <f t="shared" si="0"/>
        <v>5.7354666681417532</v>
      </c>
      <c r="Q60" s="229">
        <f t="shared" si="7"/>
        <v>6.9880812136134791</v>
      </c>
      <c r="R60" s="144"/>
    </row>
    <row r="61" spans="2:18">
      <c r="B61" s="142">
        <f t="shared" si="4"/>
        <v>2026</v>
      </c>
      <c r="C61" s="19">
        <f t="shared" si="5"/>
        <v>8</v>
      </c>
      <c r="D61" s="143">
        <v>46235</v>
      </c>
      <c r="E61" s="19" t="str">
        <f t="shared" si="6"/>
        <v>8-2026</v>
      </c>
      <c r="F61" s="91">
        <f>'IEPR Gas Prices Real'!F63*(INDEX('GDP Deflator'!$D$6:$D$91,MATCH('IEPR Gas Prices Nominal'!$B61,'GDP Deflator'!$B$6:$B$91,0)))</f>
        <v>5.4399371546994555</v>
      </c>
      <c r="G61" s="91">
        <f>'IEPR Gas Prices Real'!G63*(INDEX('GDP Deflator'!$D$6:$D$91,MATCH('IEPR Gas Prices Nominal'!$B61,'GDP Deflator'!$B$6:$B$91,0)))</f>
        <v>1.0952467402850963</v>
      </c>
      <c r="H61" s="91">
        <f>'IEPR Gas Prices Real'!H63*(INDEX('GDP Deflator'!$D$6:$D$91,MATCH('IEPR Gas Prices Nominal'!$B61,'GDP Deflator'!$B$6:$B$91,0)))</f>
        <v>6.5351838949845522</v>
      </c>
      <c r="I61" s="91">
        <f>'IEPR Gas Prices Real'!I63*(INDEX('GDP Deflator'!$D$6:$D$91,MATCH('IEPR Gas Prices Nominal'!$B61,'GDP Deflator'!$B$6:$B$91,0)))</f>
        <v>5.7146731904131105</v>
      </c>
      <c r="J61" s="91">
        <f>'IEPR Gas Prices Real'!J63*(INDEX('GDP Deflator'!$D$6:$D$91,MATCH('IEPR Gas Prices Nominal'!$B61,'GDP Deflator'!$B$6:$B$91,0)))</f>
        <v>1.8085172383797896</v>
      </c>
      <c r="K61" s="91">
        <f>'IEPR Gas Prices Real'!K63*(INDEX('GDP Deflator'!$D$6:$D$91,MATCH('IEPR Gas Prices Nominal'!$B61,'GDP Deflator'!$B$6:$B$91,0)))</f>
        <v>7.5231904287929003</v>
      </c>
      <c r="L61" s="91">
        <f>'IEPR Gas Prices Real'!L63*(INDEX('GDP Deflator'!$D$6:$D$91,MATCH('IEPR Gas Prices Nominal'!$B61,'GDP Deflator'!$B$6:$B$91,0)))</f>
        <v>5.9183095769301879</v>
      </c>
      <c r="M61" s="91">
        <f>'IEPR Gas Prices Real'!M63*(INDEX('GDP Deflator'!$D$6:$D$91,MATCH('IEPR Gas Prices Nominal'!$B61,'GDP Deflator'!$B$6:$B$91,0)))</f>
        <v>0.85407965775029315</v>
      </c>
      <c r="N61" s="91">
        <f>'IEPR Gas Prices Real'!N63*(INDEX('GDP Deflator'!$D$6:$D$91,MATCH('IEPR Gas Prices Nominal'!$B61,'GDP Deflator'!$B$6:$B$91,0)))</f>
        <v>6.7723892346804808</v>
      </c>
      <c r="O61" s="19"/>
      <c r="P61" s="229">
        <f t="shared" si="0"/>
        <v>5.6909733073475843</v>
      </c>
      <c r="Q61" s="229">
        <f t="shared" si="7"/>
        <v>6.943587852819312</v>
      </c>
      <c r="R61" s="144"/>
    </row>
    <row r="62" spans="2:18">
      <c r="B62" s="142">
        <f t="shared" si="4"/>
        <v>2026</v>
      </c>
      <c r="C62" s="19">
        <f t="shared" si="5"/>
        <v>9</v>
      </c>
      <c r="D62" s="143">
        <v>46266</v>
      </c>
      <c r="E62" s="19" t="str">
        <f t="shared" si="6"/>
        <v>9-2026</v>
      </c>
      <c r="F62" s="91">
        <f>'IEPR Gas Prices Real'!F64*(INDEX('GDP Deflator'!$D$6:$D$91,MATCH('IEPR Gas Prices Nominal'!$B62,'GDP Deflator'!$B$6:$B$91,0)))</f>
        <v>5.5162814271214087</v>
      </c>
      <c r="G62" s="91">
        <f>'IEPR Gas Prices Real'!G64*(INDEX('GDP Deflator'!$D$6:$D$91,MATCH('IEPR Gas Prices Nominal'!$B62,'GDP Deflator'!$B$6:$B$91,0)))</f>
        <v>1.0952467402850963</v>
      </c>
      <c r="H62" s="91">
        <f>'IEPR Gas Prices Real'!H64*(INDEX('GDP Deflator'!$D$6:$D$91,MATCH('IEPR Gas Prices Nominal'!$B62,'GDP Deflator'!$B$6:$B$91,0)))</f>
        <v>6.6115281674065054</v>
      </c>
      <c r="I62" s="91">
        <f>'IEPR Gas Prices Real'!I64*(INDEX('GDP Deflator'!$D$6:$D$91,MATCH('IEPR Gas Prices Nominal'!$B62,'GDP Deflator'!$B$6:$B$91,0)))</f>
        <v>5.7948272744316851</v>
      </c>
      <c r="J62" s="91">
        <f>'IEPR Gas Prices Real'!J64*(INDEX('GDP Deflator'!$D$6:$D$91,MATCH('IEPR Gas Prices Nominal'!$B62,'GDP Deflator'!$B$6:$B$91,0)))</f>
        <v>1.8085172383797896</v>
      </c>
      <c r="K62" s="91">
        <f>'IEPR Gas Prices Real'!K64*(INDEX('GDP Deflator'!$D$6:$D$91,MATCH('IEPR Gas Prices Nominal'!$B62,'GDP Deflator'!$B$6:$B$91,0)))</f>
        <v>7.6033445128114749</v>
      </c>
      <c r="L62" s="91">
        <f>'IEPR Gas Prices Real'!L64*(INDEX('GDP Deflator'!$D$6:$D$91,MATCH('IEPR Gas Prices Nominal'!$B62,'GDP Deflator'!$B$6:$B$91,0)))</f>
        <v>6.0013723932940417</v>
      </c>
      <c r="M62" s="91">
        <f>'IEPR Gas Prices Real'!M64*(INDEX('GDP Deflator'!$D$6:$D$91,MATCH('IEPR Gas Prices Nominal'!$B62,'GDP Deflator'!$B$6:$B$91,0)))</f>
        <v>0.85407965775029315</v>
      </c>
      <c r="N62" s="91">
        <f>'IEPR Gas Prices Real'!N64*(INDEX('GDP Deflator'!$D$6:$D$91,MATCH('IEPR Gas Prices Nominal'!$B62,'GDP Deflator'!$B$6:$B$91,0)))</f>
        <v>6.8554520510443346</v>
      </c>
      <c r="O62" s="19"/>
      <c r="P62" s="229">
        <f t="shared" si="0"/>
        <v>5.7708270316157124</v>
      </c>
      <c r="Q62" s="229">
        <f t="shared" si="7"/>
        <v>7.0234415770874383</v>
      </c>
      <c r="R62" s="144"/>
    </row>
    <row r="63" spans="2:18">
      <c r="B63" s="142">
        <f t="shared" si="4"/>
        <v>2026</v>
      </c>
      <c r="C63" s="19">
        <f t="shared" si="5"/>
        <v>10</v>
      </c>
      <c r="D63" s="143">
        <v>46296</v>
      </c>
      <c r="E63" s="19" t="str">
        <f t="shared" si="6"/>
        <v>10-2026</v>
      </c>
      <c r="F63" s="91">
        <f>'IEPR Gas Prices Real'!F65*(INDEX('GDP Deflator'!$D$6:$D$91,MATCH('IEPR Gas Prices Nominal'!$B63,'GDP Deflator'!$B$6:$B$91,0)))</f>
        <v>5.4843216062971427</v>
      </c>
      <c r="G63" s="91">
        <f>'IEPR Gas Prices Real'!G65*(INDEX('GDP Deflator'!$D$6:$D$91,MATCH('IEPR Gas Prices Nominal'!$B63,'GDP Deflator'!$B$6:$B$91,0)))</f>
        <v>1.0952467402850963</v>
      </c>
      <c r="H63" s="91">
        <f>'IEPR Gas Prices Real'!H65*(INDEX('GDP Deflator'!$D$6:$D$91,MATCH('IEPR Gas Prices Nominal'!$B63,'GDP Deflator'!$B$6:$B$91,0)))</f>
        <v>6.5795683465822385</v>
      </c>
      <c r="I63" s="91">
        <f>'IEPR Gas Prices Real'!I65*(INDEX('GDP Deflator'!$D$6:$D$91,MATCH('IEPR Gas Prices Nominal'!$B63,'GDP Deflator'!$B$6:$B$91,0)))</f>
        <v>5.7612080505922334</v>
      </c>
      <c r="J63" s="91">
        <f>'IEPR Gas Prices Real'!J65*(INDEX('GDP Deflator'!$D$6:$D$91,MATCH('IEPR Gas Prices Nominal'!$B63,'GDP Deflator'!$B$6:$B$91,0)))</f>
        <v>1.8085172383797896</v>
      </c>
      <c r="K63" s="91">
        <f>'IEPR Gas Prices Real'!K65*(INDEX('GDP Deflator'!$D$6:$D$91,MATCH('IEPR Gas Prices Nominal'!$B63,'GDP Deflator'!$B$6:$B$91,0)))</f>
        <v>7.5697252889720232</v>
      </c>
      <c r="L63" s="91">
        <f>'IEPR Gas Prices Real'!L65*(INDEX('GDP Deflator'!$D$6:$D$91,MATCH('IEPR Gas Prices Nominal'!$B63,'GDP Deflator'!$B$6:$B$91,0)))</f>
        <v>5.9666071082898</v>
      </c>
      <c r="M63" s="91">
        <f>'IEPR Gas Prices Real'!M65*(INDEX('GDP Deflator'!$D$6:$D$91,MATCH('IEPR Gas Prices Nominal'!$B63,'GDP Deflator'!$B$6:$B$91,0)))</f>
        <v>0.85407965775029315</v>
      </c>
      <c r="N63" s="91">
        <f>'IEPR Gas Prices Real'!N65*(INDEX('GDP Deflator'!$D$6:$D$91,MATCH('IEPR Gas Prices Nominal'!$B63,'GDP Deflator'!$B$6:$B$91,0)))</f>
        <v>6.8206867660400921</v>
      </c>
      <c r="O63" s="19"/>
      <c r="P63" s="229">
        <f t="shared" si="0"/>
        <v>5.7373789217263917</v>
      </c>
      <c r="Q63" s="229">
        <f t="shared" si="7"/>
        <v>6.9899934671981185</v>
      </c>
      <c r="R63" s="144"/>
    </row>
    <row r="64" spans="2:18">
      <c r="B64" s="142">
        <f t="shared" si="4"/>
        <v>2026</v>
      </c>
      <c r="C64" s="19">
        <f t="shared" si="5"/>
        <v>11</v>
      </c>
      <c r="D64" s="143">
        <v>46327</v>
      </c>
      <c r="E64" s="19" t="str">
        <f t="shared" si="6"/>
        <v>11-2026</v>
      </c>
      <c r="F64" s="91">
        <f>'IEPR Gas Prices Real'!F66*(INDEX('GDP Deflator'!$D$6:$D$91,MATCH('IEPR Gas Prices Nominal'!$B64,'GDP Deflator'!$B$6:$B$91,0)))</f>
        <v>5.7552135729362428</v>
      </c>
      <c r="G64" s="91">
        <f>'IEPR Gas Prices Real'!G66*(INDEX('GDP Deflator'!$D$6:$D$91,MATCH('IEPR Gas Prices Nominal'!$B64,'GDP Deflator'!$B$6:$B$91,0)))</f>
        <v>1.0952467402850963</v>
      </c>
      <c r="H64" s="91">
        <f>'IEPR Gas Prices Real'!H66*(INDEX('GDP Deflator'!$D$6:$D$91,MATCH('IEPR Gas Prices Nominal'!$B64,'GDP Deflator'!$B$6:$B$91,0)))</f>
        <v>6.8504603132213395</v>
      </c>
      <c r="I64" s="91">
        <f>'IEPR Gas Prices Real'!I66*(INDEX('GDP Deflator'!$D$6:$D$91,MATCH('IEPR Gas Prices Nominal'!$B64,'GDP Deflator'!$B$6:$B$91,0)))</f>
        <v>6.0457286717925705</v>
      </c>
      <c r="J64" s="91">
        <f>'IEPR Gas Prices Real'!J66*(INDEX('GDP Deflator'!$D$6:$D$91,MATCH('IEPR Gas Prices Nominal'!$B64,'GDP Deflator'!$B$6:$B$91,0)))</f>
        <v>1.8085172383797896</v>
      </c>
      <c r="K64" s="91">
        <f>'IEPR Gas Prices Real'!K66*(INDEX('GDP Deflator'!$D$6:$D$91,MATCH('IEPR Gas Prices Nominal'!$B64,'GDP Deflator'!$B$6:$B$91,0)))</f>
        <v>7.8542459101723603</v>
      </c>
      <c r="L64" s="91">
        <f>'IEPR Gas Prices Real'!L66*(INDEX('GDP Deflator'!$D$6:$D$91,MATCH('IEPR Gas Prices Nominal'!$B64,'GDP Deflator'!$B$6:$B$91,0)))</f>
        <v>6.2613262994284238</v>
      </c>
      <c r="M64" s="91">
        <f>'IEPR Gas Prices Real'!M66*(INDEX('GDP Deflator'!$D$6:$D$91,MATCH('IEPR Gas Prices Nominal'!$B64,'GDP Deflator'!$B$6:$B$91,0)))</f>
        <v>0.85407965775029315</v>
      </c>
      <c r="N64" s="91">
        <f>'IEPR Gas Prices Real'!N66*(INDEX('GDP Deflator'!$D$6:$D$91,MATCH('IEPR Gas Prices Nominal'!$B64,'GDP Deflator'!$B$6:$B$91,0)))</f>
        <v>7.1154059571787167</v>
      </c>
      <c r="O64" s="19"/>
      <c r="P64" s="229">
        <f t="shared" si="0"/>
        <v>6.0207561813857451</v>
      </c>
      <c r="Q64" s="229">
        <f t="shared" si="7"/>
        <v>7.2733707268574719</v>
      </c>
      <c r="R64" s="144"/>
    </row>
    <row r="65" spans="2:18">
      <c r="B65" s="142">
        <f t="shared" si="4"/>
        <v>2026</v>
      </c>
      <c r="C65" s="19">
        <f t="shared" si="5"/>
        <v>12</v>
      </c>
      <c r="D65" s="143">
        <v>46357</v>
      </c>
      <c r="E65" s="19" t="str">
        <f t="shared" si="6"/>
        <v>12-2026</v>
      </c>
      <c r="F65" s="91">
        <f>'IEPR Gas Prices Real'!F67*(INDEX('GDP Deflator'!$D$6:$D$91,MATCH('IEPR Gas Prices Nominal'!$B65,'GDP Deflator'!$B$6:$B$91,0)))</f>
        <v>5.8013232747507999</v>
      </c>
      <c r="G65" s="91">
        <f>'IEPR Gas Prices Real'!G67*(INDEX('GDP Deflator'!$D$6:$D$91,MATCH('IEPR Gas Prices Nominal'!$B65,'GDP Deflator'!$B$6:$B$91,0)))</f>
        <v>1.0952467402850963</v>
      </c>
      <c r="H65" s="91">
        <f>'IEPR Gas Prices Real'!H67*(INDEX('GDP Deflator'!$D$6:$D$91,MATCH('IEPR Gas Prices Nominal'!$B65,'GDP Deflator'!$B$6:$B$91,0)))</f>
        <v>6.8965700150358966</v>
      </c>
      <c r="I65" s="91">
        <f>'IEPR Gas Prices Real'!I67*(INDEX('GDP Deflator'!$D$6:$D$91,MATCH('IEPR Gas Prices Nominal'!$B65,'GDP Deflator'!$B$6:$B$91,0)))</f>
        <v>6.0941176927957468</v>
      </c>
      <c r="J65" s="91">
        <f>'IEPR Gas Prices Real'!J67*(INDEX('GDP Deflator'!$D$6:$D$91,MATCH('IEPR Gas Prices Nominal'!$B65,'GDP Deflator'!$B$6:$B$91,0)))</f>
        <v>1.8085172383797896</v>
      </c>
      <c r="K65" s="91">
        <f>'IEPR Gas Prices Real'!K67*(INDEX('GDP Deflator'!$D$6:$D$91,MATCH('IEPR Gas Prices Nominal'!$B65,'GDP Deflator'!$B$6:$B$91,0)))</f>
        <v>7.9026349311755366</v>
      </c>
      <c r="L65" s="91">
        <f>'IEPR Gas Prices Real'!L67*(INDEX('GDP Deflator'!$D$6:$D$91,MATCH('IEPR Gas Prices Nominal'!$B65,'GDP Deflator'!$B$6:$B$91,0)))</f>
        <v>6.3114961938359375</v>
      </c>
      <c r="M65" s="91">
        <f>'IEPR Gas Prices Real'!M67*(INDEX('GDP Deflator'!$D$6:$D$91,MATCH('IEPR Gas Prices Nominal'!$B65,'GDP Deflator'!$B$6:$B$91,0)))</f>
        <v>0.85407965775029315</v>
      </c>
      <c r="N65" s="91">
        <f>'IEPR Gas Prices Real'!N67*(INDEX('GDP Deflator'!$D$6:$D$91,MATCH('IEPR Gas Prices Nominal'!$B65,'GDP Deflator'!$B$6:$B$91,0)))</f>
        <v>7.1655758515862304</v>
      </c>
      <c r="O65" s="19"/>
      <c r="P65" s="229">
        <f t="shared" si="0"/>
        <v>6.0689790537941617</v>
      </c>
      <c r="Q65" s="229">
        <f t="shared" si="7"/>
        <v>7.3215935992658876</v>
      </c>
      <c r="R65" s="144"/>
    </row>
    <row r="66" spans="2:18">
      <c r="B66" s="142">
        <f t="shared" si="4"/>
        <v>2027</v>
      </c>
      <c r="C66" s="19">
        <f t="shared" si="5"/>
        <v>1</v>
      </c>
      <c r="D66" s="143">
        <v>46388</v>
      </c>
      <c r="E66" s="19" t="str">
        <f t="shared" si="6"/>
        <v>1-2027</v>
      </c>
      <c r="F66" s="91">
        <f>'IEPR Gas Prices Real'!F68*(INDEX('GDP Deflator'!$D$6:$D$91,MATCH('IEPR Gas Prices Nominal'!$B66,'GDP Deflator'!$B$6:$B$91,0)))</f>
        <v>5.9261756985113037</v>
      </c>
      <c r="G66" s="91">
        <f>'IEPR Gas Prices Real'!G68*(INDEX('GDP Deflator'!$D$6:$D$91,MATCH('IEPR Gas Prices Nominal'!$B66,'GDP Deflator'!$B$6:$B$91,0)))</f>
        <v>1.1635487828050251</v>
      </c>
      <c r="H66" s="91">
        <f>'IEPR Gas Prices Real'!H68*(INDEX('GDP Deflator'!$D$6:$D$91,MATCH('IEPR Gas Prices Nominal'!$B66,'GDP Deflator'!$B$6:$B$91,0)))</f>
        <v>7.0897244813163285</v>
      </c>
      <c r="I66" s="91">
        <f>'IEPR Gas Prices Real'!I68*(INDEX('GDP Deflator'!$D$6:$D$91,MATCH('IEPR Gas Prices Nominal'!$B66,'GDP Deflator'!$B$6:$B$91,0)))</f>
        <v>6.2251896510358087</v>
      </c>
      <c r="J66" s="91">
        <f>'IEPR Gas Prices Real'!J68*(INDEX('GDP Deflator'!$D$6:$D$91,MATCH('IEPR Gas Prices Nominal'!$B66,'GDP Deflator'!$B$6:$B$91,0)))</f>
        <v>1.9213004284778368</v>
      </c>
      <c r="K66" s="91">
        <f>'IEPR Gas Prices Real'!K68*(INDEX('GDP Deflator'!$D$6:$D$91,MATCH('IEPR Gas Prices Nominal'!$B66,'GDP Deflator'!$B$6:$B$91,0)))</f>
        <v>8.1464900795136455</v>
      </c>
      <c r="L66" s="91">
        <f>'IEPR Gas Prices Real'!L68*(INDEX('GDP Deflator'!$D$6:$D$91,MATCH('IEPR Gas Prices Nominal'!$B66,'GDP Deflator'!$B$6:$B$91,0)))</f>
        <v>6.4472985473305258</v>
      </c>
      <c r="M66" s="91">
        <f>'IEPR Gas Prices Real'!M68*(INDEX('GDP Deflator'!$D$6:$D$91,MATCH('IEPR Gas Prices Nominal'!$B66,'GDP Deflator'!$B$6:$B$91,0)))</f>
        <v>0.90734198025114077</v>
      </c>
      <c r="N66" s="91">
        <f>'IEPR Gas Prices Real'!N68*(INDEX('GDP Deflator'!$D$6:$D$91,MATCH('IEPR Gas Prices Nominal'!$B66,'GDP Deflator'!$B$6:$B$91,0)))</f>
        <v>7.3546405275816671</v>
      </c>
      <c r="O66" s="19"/>
      <c r="P66" s="229">
        <f t="shared" si="0"/>
        <v>6.1995546322925463</v>
      </c>
      <c r="Q66" s="229">
        <f t="shared" si="7"/>
        <v>7.5302850294705479</v>
      </c>
      <c r="R66" s="144"/>
    </row>
    <row r="67" spans="2:18">
      <c r="B67" s="142">
        <f t="shared" si="4"/>
        <v>2027</v>
      </c>
      <c r="C67" s="19">
        <f t="shared" si="5"/>
        <v>2</v>
      </c>
      <c r="D67" s="143">
        <v>46419</v>
      </c>
      <c r="E67" s="19" t="str">
        <f t="shared" si="6"/>
        <v>2-2027</v>
      </c>
      <c r="F67" s="91">
        <f>'IEPR Gas Prices Real'!F69*(INDEX('GDP Deflator'!$D$6:$D$91,MATCH('IEPR Gas Prices Nominal'!$B67,'GDP Deflator'!$B$6:$B$91,0)))</f>
        <v>5.7960144680233041</v>
      </c>
      <c r="G67" s="91">
        <f>'IEPR Gas Prices Real'!G69*(INDEX('GDP Deflator'!$D$6:$D$91,MATCH('IEPR Gas Prices Nominal'!$B67,'GDP Deflator'!$B$6:$B$91,0)))</f>
        <v>1.1635487828050251</v>
      </c>
      <c r="H67" s="91">
        <f>'IEPR Gas Prices Real'!H69*(INDEX('GDP Deflator'!$D$6:$D$91,MATCH('IEPR Gas Prices Nominal'!$B67,'GDP Deflator'!$B$6:$B$91,0)))</f>
        <v>6.9595632508283298</v>
      </c>
      <c r="I67" s="91">
        <f>'IEPR Gas Prices Real'!I69*(INDEX('GDP Deflator'!$D$6:$D$91,MATCH('IEPR Gas Prices Nominal'!$B67,'GDP Deflator'!$B$6:$B$91,0)))</f>
        <v>6.0883809245213314</v>
      </c>
      <c r="J67" s="91">
        <f>'IEPR Gas Prices Real'!J69*(INDEX('GDP Deflator'!$D$6:$D$91,MATCH('IEPR Gas Prices Nominal'!$B67,'GDP Deflator'!$B$6:$B$91,0)))</f>
        <v>1.9213004284778368</v>
      </c>
      <c r="K67" s="91">
        <f>'IEPR Gas Prices Real'!K69*(INDEX('GDP Deflator'!$D$6:$D$91,MATCH('IEPR Gas Prices Nominal'!$B67,'GDP Deflator'!$B$6:$B$91,0)))</f>
        <v>8.0096813529991682</v>
      </c>
      <c r="L67" s="91">
        <f>'IEPR Gas Prices Real'!L69*(INDEX('GDP Deflator'!$D$6:$D$91,MATCH('IEPR Gas Prices Nominal'!$B67,'GDP Deflator'!$B$6:$B$91,0)))</f>
        <v>6.3056624453048462</v>
      </c>
      <c r="M67" s="91">
        <f>'IEPR Gas Prices Real'!M69*(INDEX('GDP Deflator'!$D$6:$D$91,MATCH('IEPR Gas Prices Nominal'!$B67,'GDP Deflator'!$B$6:$B$91,0)))</f>
        <v>0.90734198025114077</v>
      </c>
      <c r="N67" s="91">
        <f>'IEPR Gas Prices Real'!N69*(INDEX('GDP Deflator'!$D$6:$D$91,MATCH('IEPR Gas Prices Nominal'!$B67,'GDP Deflator'!$B$6:$B$91,0)))</f>
        <v>7.2130044255559875</v>
      </c>
      <c r="O67" s="19"/>
      <c r="P67" s="229">
        <f t="shared" si="0"/>
        <v>6.0633526126164945</v>
      </c>
      <c r="Q67" s="229">
        <f t="shared" si="7"/>
        <v>7.3940830097944952</v>
      </c>
      <c r="R67" s="144"/>
    </row>
    <row r="68" spans="2:18">
      <c r="B68" s="142">
        <f t="shared" si="4"/>
        <v>2027</v>
      </c>
      <c r="C68" s="19">
        <f t="shared" si="5"/>
        <v>3</v>
      </c>
      <c r="D68" s="143">
        <v>46447</v>
      </c>
      <c r="E68" s="19" t="str">
        <f t="shared" si="6"/>
        <v>3-2027</v>
      </c>
      <c r="F68" s="91">
        <f>'IEPR Gas Prices Real'!F70*(INDEX('GDP Deflator'!$D$6:$D$91,MATCH('IEPR Gas Prices Nominal'!$B68,'GDP Deflator'!$B$6:$B$91,0)))</f>
        <v>5.3205456143552761</v>
      </c>
      <c r="G68" s="91">
        <f>'IEPR Gas Prices Real'!G70*(INDEX('GDP Deflator'!$D$6:$D$91,MATCH('IEPR Gas Prices Nominal'!$B68,'GDP Deflator'!$B$6:$B$91,0)))</f>
        <v>1.1635487828050251</v>
      </c>
      <c r="H68" s="91">
        <f>'IEPR Gas Prices Real'!H70*(INDEX('GDP Deflator'!$D$6:$D$91,MATCH('IEPR Gas Prices Nominal'!$B68,'GDP Deflator'!$B$6:$B$91,0)))</f>
        <v>6.4840943971603009</v>
      </c>
      <c r="I68" s="91">
        <f>'IEPR Gas Prices Real'!I70*(INDEX('GDP Deflator'!$D$6:$D$91,MATCH('IEPR Gas Prices Nominal'!$B68,'GDP Deflator'!$B$6:$B$91,0)))</f>
        <v>5.5888546849503511</v>
      </c>
      <c r="J68" s="91">
        <f>'IEPR Gas Prices Real'!J70*(INDEX('GDP Deflator'!$D$6:$D$91,MATCH('IEPR Gas Prices Nominal'!$B68,'GDP Deflator'!$B$6:$B$91,0)))</f>
        <v>1.9213004284778368</v>
      </c>
      <c r="K68" s="91">
        <f>'IEPR Gas Prices Real'!K70*(INDEX('GDP Deflator'!$D$6:$D$91,MATCH('IEPR Gas Prices Nominal'!$B68,'GDP Deflator'!$B$6:$B$91,0)))</f>
        <v>7.5101551134281888</v>
      </c>
      <c r="L68" s="91">
        <f>'IEPR Gas Prices Real'!L70*(INDEX('GDP Deflator'!$D$6:$D$91,MATCH('IEPR Gas Prices Nominal'!$B68,'GDP Deflator'!$B$6:$B$91,0)))</f>
        <v>5.7883585875459556</v>
      </c>
      <c r="M68" s="91">
        <f>'IEPR Gas Prices Real'!M70*(INDEX('GDP Deflator'!$D$6:$D$91,MATCH('IEPR Gas Prices Nominal'!$B68,'GDP Deflator'!$B$6:$B$91,0)))</f>
        <v>0.90734198025114077</v>
      </c>
      <c r="N68" s="91">
        <f>'IEPR Gas Prices Real'!N70*(INDEX('GDP Deflator'!$D$6:$D$91,MATCH('IEPR Gas Prices Nominal'!$B68,'GDP Deflator'!$B$6:$B$91,0)))</f>
        <v>6.6957005677970969</v>
      </c>
      <c r="O68" s="19"/>
      <c r="P68" s="229">
        <f t="shared" si="0"/>
        <v>5.5659196289505273</v>
      </c>
      <c r="Q68" s="229">
        <f t="shared" si="7"/>
        <v>6.8966500261285288</v>
      </c>
      <c r="R68" s="144"/>
    </row>
    <row r="69" spans="2:18">
      <c r="B69" s="142">
        <f t="shared" si="4"/>
        <v>2027</v>
      </c>
      <c r="C69" s="19">
        <f t="shared" si="5"/>
        <v>4</v>
      </c>
      <c r="D69" s="143">
        <v>46478</v>
      </c>
      <c r="E69" s="19" t="str">
        <f t="shared" si="6"/>
        <v>4-2027</v>
      </c>
      <c r="F69" s="91">
        <f>'IEPR Gas Prices Real'!F71*(INDEX('GDP Deflator'!$D$6:$D$91,MATCH('IEPR Gas Prices Nominal'!$B69,'GDP Deflator'!$B$6:$B$91,0)))</f>
        <v>5.2298065614041667</v>
      </c>
      <c r="G69" s="91">
        <f>'IEPR Gas Prices Real'!G71*(INDEX('GDP Deflator'!$D$6:$D$91,MATCH('IEPR Gas Prices Nominal'!$B69,'GDP Deflator'!$B$6:$B$91,0)))</f>
        <v>1.1635487828050251</v>
      </c>
      <c r="H69" s="91">
        <f>'IEPR Gas Prices Real'!H71*(INDEX('GDP Deflator'!$D$6:$D$91,MATCH('IEPR Gas Prices Nominal'!$B69,'GDP Deflator'!$B$6:$B$91,0)))</f>
        <v>6.3933553442091915</v>
      </c>
      <c r="I69" s="91">
        <f>'IEPR Gas Prices Real'!I71*(INDEX('GDP Deflator'!$D$6:$D$91,MATCH('IEPR Gas Prices Nominal'!$B69,'GDP Deflator'!$B$6:$B$91,0)))</f>
        <v>5.4934675393514096</v>
      </c>
      <c r="J69" s="91">
        <f>'IEPR Gas Prices Real'!J71*(INDEX('GDP Deflator'!$D$6:$D$91,MATCH('IEPR Gas Prices Nominal'!$B69,'GDP Deflator'!$B$6:$B$91,0)))</f>
        <v>1.9213004284778368</v>
      </c>
      <c r="K69" s="91">
        <f>'IEPR Gas Prices Real'!K71*(INDEX('GDP Deflator'!$D$6:$D$91,MATCH('IEPR Gas Prices Nominal'!$B69,'GDP Deflator'!$B$6:$B$91,0)))</f>
        <v>7.4147679678292455</v>
      </c>
      <c r="L69" s="91">
        <f>'IEPR Gas Prices Real'!L71*(INDEX('GDP Deflator'!$D$6:$D$91,MATCH('IEPR Gas Prices Nominal'!$B69,'GDP Deflator'!$B$6:$B$91,0)))</f>
        <v>5.6896150208584624</v>
      </c>
      <c r="M69" s="91">
        <f>'IEPR Gas Prices Real'!M71*(INDEX('GDP Deflator'!$D$6:$D$91,MATCH('IEPR Gas Prices Nominal'!$B69,'GDP Deflator'!$B$6:$B$91,0)))</f>
        <v>0.90734198025114077</v>
      </c>
      <c r="N69" s="91">
        <f>'IEPR Gas Prices Real'!N71*(INDEX('GDP Deflator'!$D$6:$D$91,MATCH('IEPR Gas Prices Nominal'!$B69,'GDP Deflator'!$B$6:$B$91,0)))</f>
        <v>6.5969570011096037</v>
      </c>
      <c r="O69" s="19"/>
      <c r="P69" s="229">
        <f t="shared" si="0"/>
        <v>5.4709630405380132</v>
      </c>
      <c r="Q69" s="229">
        <f t="shared" si="7"/>
        <v>6.8016934377160139</v>
      </c>
      <c r="R69" s="144"/>
    </row>
    <row r="70" spans="2:18">
      <c r="B70" s="142">
        <f t="shared" si="4"/>
        <v>2027</v>
      </c>
      <c r="C70" s="19">
        <f t="shared" si="5"/>
        <v>5</v>
      </c>
      <c r="D70" s="143">
        <v>46508</v>
      </c>
      <c r="E70" s="19" t="str">
        <f t="shared" si="6"/>
        <v>5-2027</v>
      </c>
      <c r="F70" s="91">
        <f>'IEPR Gas Prices Real'!F72*(INDEX('GDP Deflator'!$D$6:$D$91,MATCH('IEPR Gas Prices Nominal'!$B70,'GDP Deflator'!$B$6:$B$91,0)))</f>
        <v>5.4116044505998335</v>
      </c>
      <c r="G70" s="91">
        <f>'IEPR Gas Prices Real'!G72*(INDEX('GDP Deflator'!$D$6:$D$91,MATCH('IEPR Gas Prices Nominal'!$B70,'GDP Deflator'!$B$6:$B$91,0)))</f>
        <v>1.1635487828050251</v>
      </c>
      <c r="H70" s="91">
        <f>'IEPR Gas Prices Real'!H72*(INDEX('GDP Deflator'!$D$6:$D$91,MATCH('IEPR Gas Prices Nominal'!$B70,'GDP Deflator'!$B$6:$B$91,0)))</f>
        <v>6.5751532334048592</v>
      </c>
      <c r="I70" s="91">
        <f>'IEPR Gas Prices Real'!I72*(INDEX('GDP Deflator'!$D$6:$D$91,MATCH('IEPR Gas Prices Nominal'!$B70,'GDP Deflator'!$B$6:$B$91,0)))</f>
        <v>5.6843560307347296</v>
      </c>
      <c r="J70" s="91">
        <f>'IEPR Gas Prices Real'!J72*(INDEX('GDP Deflator'!$D$6:$D$91,MATCH('IEPR Gas Prices Nominal'!$B70,'GDP Deflator'!$B$6:$B$91,0)))</f>
        <v>1.9213004284778368</v>
      </c>
      <c r="K70" s="91">
        <f>'IEPR Gas Prices Real'!K72*(INDEX('GDP Deflator'!$D$6:$D$91,MATCH('IEPR Gas Prices Nominal'!$B70,'GDP Deflator'!$B$6:$B$91,0)))</f>
        <v>7.6056564592125673</v>
      </c>
      <c r="L70" s="91">
        <f>'IEPR Gas Prices Real'!L72*(INDEX('GDP Deflator'!$D$6:$D$91,MATCH('IEPR Gas Prices Nominal'!$B70,'GDP Deflator'!$B$6:$B$91,0)))</f>
        <v>5.8873695849267342</v>
      </c>
      <c r="M70" s="91">
        <f>'IEPR Gas Prices Real'!M72*(INDEX('GDP Deflator'!$D$6:$D$91,MATCH('IEPR Gas Prices Nominal'!$B70,'GDP Deflator'!$B$6:$B$91,0)))</f>
        <v>0.90734198025114077</v>
      </c>
      <c r="N70" s="91">
        <f>'IEPR Gas Prices Real'!N72*(INDEX('GDP Deflator'!$D$6:$D$91,MATCH('IEPR Gas Prices Nominal'!$B70,'GDP Deflator'!$B$6:$B$91,0)))</f>
        <v>6.7947115651778756</v>
      </c>
      <c r="O70" s="19"/>
      <c r="P70" s="229">
        <f t="shared" ref="P70:P133" si="12">AVERAGE(F70,I70,L70)</f>
        <v>5.6611100220870982</v>
      </c>
      <c r="Q70" s="229">
        <f t="shared" si="7"/>
        <v>6.9918404192650998</v>
      </c>
      <c r="R70" s="144"/>
    </row>
    <row r="71" spans="2:18">
      <c r="B71" s="142">
        <f t="shared" ref="B71:B134" si="13">YEAR(D71)</f>
        <v>2027</v>
      </c>
      <c r="C71" s="19">
        <f t="shared" ref="C71:C134" si="14">MONTH(D71)</f>
        <v>6</v>
      </c>
      <c r="D71" s="143">
        <v>46539</v>
      </c>
      <c r="E71" s="19" t="str">
        <f t="shared" ref="E71:E134" si="15">C71&amp;"-"&amp;B71</f>
        <v>6-2027</v>
      </c>
      <c r="F71" s="91">
        <f>'IEPR Gas Prices Real'!F73*(INDEX('GDP Deflator'!$D$6:$D$91,MATCH('IEPR Gas Prices Nominal'!$B71,'GDP Deflator'!$B$6:$B$91,0)))</f>
        <v>5.5512859481749333</v>
      </c>
      <c r="G71" s="91">
        <f>'IEPR Gas Prices Real'!G73*(INDEX('GDP Deflator'!$D$6:$D$91,MATCH('IEPR Gas Prices Nominal'!$B71,'GDP Deflator'!$B$6:$B$91,0)))</f>
        <v>1.1635487828050251</v>
      </c>
      <c r="H71" s="91">
        <f>'IEPR Gas Prices Real'!H73*(INDEX('GDP Deflator'!$D$6:$D$91,MATCH('IEPR Gas Prices Nominal'!$B71,'GDP Deflator'!$B$6:$B$91,0)))</f>
        <v>6.714834730979959</v>
      </c>
      <c r="I71" s="91">
        <f>'IEPR Gas Prices Real'!I73*(INDEX('GDP Deflator'!$D$6:$D$91,MATCH('IEPR Gas Prices Nominal'!$B71,'GDP Deflator'!$B$6:$B$91,0)))</f>
        <v>5.8310009591710763</v>
      </c>
      <c r="J71" s="91">
        <f>'IEPR Gas Prices Real'!J73*(INDEX('GDP Deflator'!$D$6:$D$91,MATCH('IEPR Gas Prices Nominal'!$B71,'GDP Deflator'!$B$6:$B$91,0)))</f>
        <v>1.9213004284778368</v>
      </c>
      <c r="K71" s="91">
        <f>'IEPR Gas Prices Real'!K73*(INDEX('GDP Deflator'!$D$6:$D$91,MATCH('IEPR Gas Prices Nominal'!$B71,'GDP Deflator'!$B$6:$B$91,0)))</f>
        <v>7.752301387648914</v>
      </c>
      <c r="L71" s="91">
        <f>'IEPR Gas Prices Real'!L73*(INDEX('GDP Deflator'!$D$6:$D$91,MATCH('IEPR Gas Prices Nominal'!$B71,'GDP Deflator'!$B$6:$B$91,0)))</f>
        <v>6.0393034480316574</v>
      </c>
      <c r="M71" s="91">
        <f>'IEPR Gas Prices Real'!M73*(INDEX('GDP Deflator'!$D$6:$D$91,MATCH('IEPR Gas Prices Nominal'!$B71,'GDP Deflator'!$B$6:$B$91,0)))</f>
        <v>0.90734198025114077</v>
      </c>
      <c r="N71" s="91">
        <f>'IEPR Gas Prices Real'!N73*(INDEX('GDP Deflator'!$D$6:$D$91,MATCH('IEPR Gas Prices Nominal'!$B71,'GDP Deflator'!$B$6:$B$91,0)))</f>
        <v>6.9466454282827987</v>
      </c>
      <c r="O71" s="19"/>
      <c r="P71" s="229">
        <f t="shared" si="12"/>
        <v>5.807196785125889</v>
      </c>
      <c r="Q71" s="229">
        <f t="shared" ref="Q71:Q134" si="16">AVERAGE(H71,K71,N71)</f>
        <v>7.1379271823038906</v>
      </c>
      <c r="R71" s="144"/>
    </row>
    <row r="72" spans="2:18">
      <c r="B72" s="142">
        <f t="shared" si="13"/>
        <v>2027</v>
      </c>
      <c r="C72" s="19">
        <f t="shared" si="14"/>
        <v>7</v>
      </c>
      <c r="D72" s="143">
        <v>46569</v>
      </c>
      <c r="E72" s="19" t="str">
        <f t="shared" si="15"/>
        <v>7-2027</v>
      </c>
      <c r="F72" s="91">
        <f>'IEPR Gas Prices Real'!F74*(INDEX('GDP Deflator'!$D$6:$D$91,MATCH('IEPR Gas Prices Nominal'!$B72,'GDP Deflator'!$B$6:$B$91,0)))</f>
        <v>5.5951055994656178</v>
      </c>
      <c r="G72" s="91">
        <f>'IEPR Gas Prices Real'!G74*(INDEX('GDP Deflator'!$D$6:$D$91,MATCH('IEPR Gas Prices Nominal'!$B72,'GDP Deflator'!$B$6:$B$91,0)))</f>
        <v>1.1635487828050251</v>
      </c>
      <c r="H72" s="91">
        <f>'IEPR Gas Prices Real'!H74*(INDEX('GDP Deflator'!$D$6:$D$91,MATCH('IEPR Gas Prices Nominal'!$B72,'GDP Deflator'!$B$6:$B$91,0)))</f>
        <v>6.7586543822706435</v>
      </c>
      <c r="I72" s="91">
        <f>'IEPR Gas Prices Real'!I74*(INDEX('GDP Deflator'!$D$6:$D$91,MATCH('IEPR Gas Prices Nominal'!$B72,'GDP Deflator'!$B$6:$B$91,0)))</f>
        <v>5.8769512620161137</v>
      </c>
      <c r="J72" s="91">
        <f>'IEPR Gas Prices Real'!J74*(INDEX('GDP Deflator'!$D$6:$D$91,MATCH('IEPR Gas Prices Nominal'!$B72,'GDP Deflator'!$B$6:$B$91,0)))</f>
        <v>1.9213004284778368</v>
      </c>
      <c r="K72" s="91">
        <f>'IEPR Gas Prices Real'!K74*(INDEX('GDP Deflator'!$D$6:$D$91,MATCH('IEPR Gas Prices Nominal'!$B72,'GDP Deflator'!$B$6:$B$91,0)))</f>
        <v>7.7982516904939496</v>
      </c>
      <c r="L72" s="91">
        <f>'IEPR Gas Prices Real'!L74*(INDEX('GDP Deflator'!$D$6:$D$91,MATCH('IEPR Gas Prices Nominal'!$B72,'GDP Deflator'!$B$6:$B$91,0)))</f>
        <v>6.086947257041575</v>
      </c>
      <c r="M72" s="91">
        <f>'IEPR Gas Prices Real'!M74*(INDEX('GDP Deflator'!$D$6:$D$91,MATCH('IEPR Gas Prices Nominal'!$B72,'GDP Deflator'!$B$6:$B$91,0)))</f>
        <v>0.90734198025114077</v>
      </c>
      <c r="N72" s="91">
        <f>'IEPR Gas Prices Real'!N74*(INDEX('GDP Deflator'!$D$6:$D$91,MATCH('IEPR Gas Prices Nominal'!$B72,'GDP Deflator'!$B$6:$B$91,0)))</f>
        <v>6.9942892372927163</v>
      </c>
      <c r="O72" s="19"/>
      <c r="P72" s="229">
        <f t="shared" si="12"/>
        <v>5.8530013728411028</v>
      </c>
      <c r="Q72" s="229">
        <f t="shared" si="16"/>
        <v>7.1837317700191035</v>
      </c>
      <c r="R72" s="144"/>
    </row>
    <row r="73" spans="2:18">
      <c r="B73" s="142">
        <f t="shared" si="13"/>
        <v>2027</v>
      </c>
      <c r="C73" s="19">
        <f t="shared" si="14"/>
        <v>8</v>
      </c>
      <c r="D73" s="143">
        <v>46600</v>
      </c>
      <c r="E73" s="19" t="str">
        <f t="shared" si="15"/>
        <v>8-2027</v>
      </c>
      <c r="F73" s="91">
        <f>'IEPR Gas Prices Real'!F75*(INDEX('GDP Deflator'!$D$6:$D$91,MATCH('IEPR Gas Prices Nominal'!$B73,'GDP Deflator'!$B$6:$B$91,0)))</f>
        <v>5.5516691626064771</v>
      </c>
      <c r="G73" s="91">
        <f>'IEPR Gas Prices Real'!G75*(INDEX('GDP Deflator'!$D$6:$D$91,MATCH('IEPR Gas Prices Nominal'!$B73,'GDP Deflator'!$B$6:$B$91,0)))</f>
        <v>1.1635487828050251</v>
      </c>
      <c r="H73" s="91">
        <f>'IEPR Gas Prices Real'!H75*(INDEX('GDP Deflator'!$D$6:$D$91,MATCH('IEPR Gas Prices Nominal'!$B73,'GDP Deflator'!$B$6:$B$91,0)))</f>
        <v>6.7152179454115029</v>
      </c>
      <c r="I73" s="91">
        <f>'IEPR Gas Prices Real'!I75*(INDEX('GDP Deflator'!$D$6:$D$91,MATCH('IEPR Gas Prices Nominal'!$B73,'GDP Deflator'!$B$6:$B$91,0)))</f>
        <v>5.8312500548627781</v>
      </c>
      <c r="J73" s="91">
        <f>'IEPR Gas Prices Real'!J75*(INDEX('GDP Deflator'!$D$6:$D$91,MATCH('IEPR Gas Prices Nominal'!$B73,'GDP Deflator'!$B$6:$B$91,0)))</f>
        <v>1.9213004284778368</v>
      </c>
      <c r="K73" s="91">
        <f>'IEPR Gas Prices Real'!K75*(INDEX('GDP Deflator'!$D$6:$D$91,MATCH('IEPR Gas Prices Nominal'!$B73,'GDP Deflator'!$B$6:$B$91,0)))</f>
        <v>7.7525504833406149</v>
      </c>
      <c r="L73" s="91">
        <f>'IEPR Gas Prices Real'!L75*(INDEX('GDP Deflator'!$D$6:$D$91,MATCH('IEPR Gas Prices Nominal'!$B73,'GDP Deflator'!$B$6:$B$91,0)))</f>
        <v>6.0396646642049614</v>
      </c>
      <c r="M73" s="91">
        <f>'IEPR Gas Prices Real'!M75*(INDEX('GDP Deflator'!$D$6:$D$91,MATCH('IEPR Gas Prices Nominal'!$B73,'GDP Deflator'!$B$6:$B$91,0)))</f>
        <v>0.90734198025114077</v>
      </c>
      <c r="N73" s="91">
        <f>'IEPR Gas Prices Real'!N75*(INDEX('GDP Deflator'!$D$6:$D$91,MATCH('IEPR Gas Prices Nominal'!$B73,'GDP Deflator'!$B$6:$B$91,0)))</f>
        <v>6.9470066444561018</v>
      </c>
      <c r="O73" s="19"/>
      <c r="P73" s="229">
        <f t="shared" si="12"/>
        <v>5.8075279605580716</v>
      </c>
      <c r="Q73" s="229">
        <f t="shared" si="16"/>
        <v>7.1382583577360732</v>
      </c>
      <c r="R73" s="144"/>
    </row>
    <row r="74" spans="2:18">
      <c r="B74" s="142">
        <f t="shared" si="13"/>
        <v>2027</v>
      </c>
      <c r="C74" s="19">
        <f t="shared" si="14"/>
        <v>9</v>
      </c>
      <c r="D74" s="143">
        <v>46631</v>
      </c>
      <c r="E74" s="19" t="str">
        <f t="shared" si="15"/>
        <v>9-2027</v>
      </c>
      <c r="F74" s="91">
        <f>'IEPR Gas Prices Real'!F76*(INDEX('GDP Deflator'!$D$6:$D$91,MATCH('IEPR Gas Prices Nominal'!$B74,'GDP Deflator'!$B$6:$B$91,0)))</f>
        <v>5.629535828590666</v>
      </c>
      <c r="G74" s="91">
        <f>'IEPR Gas Prices Real'!G76*(INDEX('GDP Deflator'!$D$6:$D$91,MATCH('IEPR Gas Prices Nominal'!$B74,'GDP Deflator'!$B$6:$B$91,0)))</f>
        <v>1.1635487828050251</v>
      </c>
      <c r="H74" s="91">
        <f>'IEPR Gas Prices Real'!H76*(INDEX('GDP Deflator'!$D$6:$D$91,MATCH('IEPR Gas Prices Nominal'!$B74,'GDP Deflator'!$B$6:$B$91,0)))</f>
        <v>6.7930846113956909</v>
      </c>
      <c r="I74" s="91">
        <f>'IEPR Gas Prices Real'!I76*(INDEX('GDP Deflator'!$D$6:$D$91,MATCH('IEPR Gas Prices Nominal'!$B74,'GDP Deflator'!$B$6:$B$91,0)))</f>
        <v>5.9129602608640033</v>
      </c>
      <c r="J74" s="91">
        <f>'IEPR Gas Prices Real'!J76*(INDEX('GDP Deflator'!$D$6:$D$91,MATCH('IEPR Gas Prices Nominal'!$B74,'GDP Deflator'!$B$6:$B$91,0)))</f>
        <v>1.9213004284778368</v>
      </c>
      <c r="K74" s="91">
        <f>'IEPR Gas Prices Real'!K76*(INDEX('GDP Deflator'!$D$6:$D$91,MATCH('IEPR Gas Prices Nominal'!$B74,'GDP Deflator'!$B$6:$B$91,0)))</f>
        <v>7.8342606893418401</v>
      </c>
      <c r="L74" s="91">
        <f>'IEPR Gas Prices Real'!L76*(INDEX('GDP Deflator'!$D$6:$D$91,MATCH('IEPR Gas Prices Nominal'!$B74,'GDP Deflator'!$B$6:$B$91,0)))</f>
        <v>6.1243476223069822</v>
      </c>
      <c r="M74" s="91">
        <f>'IEPR Gas Prices Real'!M76*(INDEX('GDP Deflator'!$D$6:$D$91,MATCH('IEPR Gas Prices Nominal'!$B74,'GDP Deflator'!$B$6:$B$91,0)))</f>
        <v>0.90734198025114077</v>
      </c>
      <c r="N74" s="91">
        <f>'IEPR Gas Prices Real'!N76*(INDEX('GDP Deflator'!$D$6:$D$91,MATCH('IEPR Gas Prices Nominal'!$B74,'GDP Deflator'!$B$6:$B$91,0)))</f>
        <v>7.0316896025581235</v>
      </c>
      <c r="O74" s="19"/>
      <c r="P74" s="229">
        <f t="shared" si="12"/>
        <v>5.8889479039205499</v>
      </c>
      <c r="Q74" s="229">
        <f t="shared" si="16"/>
        <v>7.2196783010985515</v>
      </c>
      <c r="R74" s="144"/>
    </row>
    <row r="75" spans="2:18">
      <c r="B75" s="142">
        <f t="shared" si="13"/>
        <v>2027</v>
      </c>
      <c r="C75" s="19">
        <f t="shared" si="14"/>
        <v>10</v>
      </c>
      <c r="D75" s="143">
        <v>46661</v>
      </c>
      <c r="E75" s="19" t="str">
        <f t="shared" si="15"/>
        <v>10-2027</v>
      </c>
      <c r="F75" s="91">
        <f>'IEPR Gas Prices Real'!F77*(INDEX('GDP Deflator'!$D$6:$D$91,MATCH('IEPR Gas Prices Nominal'!$B75,'GDP Deflator'!$B$6:$B$91,0)))</f>
        <v>5.5968744432939008</v>
      </c>
      <c r="G75" s="91">
        <f>'IEPR Gas Prices Real'!G77*(INDEX('GDP Deflator'!$D$6:$D$91,MATCH('IEPR Gas Prices Nominal'!$B75,'GDP Deflator'!$B$6:$B$91,0)))</f>
        <v>1.1635487828050251</v>
      </c>
      <c r="H75" s="91">
        <f>'IEPR Gas Prices Real'!H77*(INDEX('GDP Deflator'!$D$6:$D$91,MATCH('IEPR Gas Prices Nominal'!$B75,'GDP Deflator'!$B$6:$B$91,0)))</f>
        <v>6.7604232260989257</v>
      </c>
      <c r="I75" s="91">
        <f>'IEPR Gas Prices Real'!I77*(INDEX('GDP Deflator'!$D$6:$D$91,MATCH('IEPR Gas Prices Nominal'!$B75,'GDP Deflator'!$B$6:$B$91,0)))</f>
        <v>5.8785771364309838</v>
      </c>
      <c r="J75" s="91">
        <f>'IEPR Gas Prices Real'!J77*(INDEX('GDP Deflator'!$D$6:$D$91,MATCH('IEPR Gas Prices Nominal'!$B75,'GDP Deflator'!$B$6:$B$91,0)))</f>
        <v>1.9213004284778368</v>
      </c>
      <c r="K75" s="91">
        <f>'IEPR Gas Prices Real'!K77*(INDEX('GDP Deflator'!$D$6:$D$91,MATCH('IEPR Gas Prices Nominal'!$B75,'GDP Deflator'!$B$6:$B$91,0)))</f>
        <v>7.7998775649088206</v>
      </c>
      <c r="L75" s="91">
        <f>'IEPR Gas Prices Real'!L77*(INDEX('GDP Deflator'!$D$6:$D$91,MATCH('IEPR Gas Prices Nominal'!$B75,'GDP Deflator'!$B$6:$B$91,0)))</f>
        <v>6.0887873612491523</v>
      </c>
      <c r="M75" s="91">
        <f>'IEPR Gas Prices Real'!M77*(INDEX('GDP Deflator'!$D$6:$D$91,MATCH('IEPR Gas Prices Nominal'!$B75,'GDP Deflator'!$B$6:$B$91,0)))</f>
        <v>0.90734198025114077</v>
      </c>
      <c r="N75" s="91">
        <f>'IEPR Gas Prices Real'!N77*(INDEX('GDP Deflator'!$D$6:$D$91,MATCH('IEPR Gas Prices Nominal'!$B75,'GDP Deflator'!$B$6:$B$91,0)))</f>
        <v>6.9961293415002936</v>
      </c>
      <c r="O75" s="19"/>
      <c r="P75" s="229">
        <f t="shared" si="12"/>
        <v>5.854746313658012</v>
      </c>
      <c r="Q75" s="229">
        <f t="shared" si="16"/>
        <v>7.1854767108360136</v>
      </c>
      <c r="R75" s="144"/>
    </row>
    <row r="76" spans="2:18">
      <c r="B76" s="142">
        <f t="shared" si="13"/>
        <v>2027</v>
      </c>
      <c r="C76" s="19">
        <f t="shared" si="14"/>
        <v>11</v>
      </c>
      <c r="D76" s="143">
        <v>46692</v>
      </c>
      <c r="E76" s="19" t="str">
        <f t="shared" si="15"/>
        <v>11-2027</v>
      </c>
      <c r="F76" s="91">
        <f>'IEPR Gas Prices Real'!F78*(INDEX('GDP Deflator'!$D$6:$D$91,MATCH('IEPR Gas Prices Nominal'!$B76,'GDP Deflator'!$B$6:$B$91,0)))</f>
        <v>5.8732781831605934</v>
      </c>
      <c r="G76" s="91">
        <f>'IEPR Gas Prices Real'!G78*(INDEX('GDP Deflator'!$D$6:$D$91,MATCH('IEPR Gas Prices Nominal'!$B76,'GDP Deflator'!$B$6:$B$91,0)))</f>
        <v>1.1635487828050251</v>
      </c>
      <c r="H76" s="91">
        <f>'IEPR Gas Prices Real'!H78*(INDEX('GDP Deflator'!$D$6:$D$91,MATCH('IEPR Gas Prices Nominal'!$B76,'GDP Deflator'!$B$6:$B$91,0)))</f>
        <v>7.0368269659656182</v>
      </c>
      <c r="I76" s="91">
        <f>'IEPR Gas Prices Real'!I78*(INDEX('GDP Deflator'!$D$6:$D$91,MATCH('IEPR Gas Prices Nominal'!$B76,'GDP Deflator'!$B$6:$B$91,0)))</f>
        <v>6.1688116650440543</v>
      </c>
      <c r="J76" s="91">
        <f>'IEPR Gas Prices Real'!J78*(INDEX('GDP Deflator'!$D$6:$D$91,MATCH('IEPR Gas Prices Nominal'!$B76,'GDP Deflator'!$B$6:$B$91,0)))</f>
        <v>1.9213004284778368</v>
      </c>
      <c r="K76" s="91">
        <f>'IEPR Gas Prices Real'!K78*(INDEX('GDP Deflator'!$D$6:$D$91,MATCH('IEPR Gas Prices Nominal'!$B76,'GDP Deflator'!$B$6:$B$91,0)))</f>
        <v>8.090112093521892</v>
      </c>
      <c r="L76" s="91">
        <f>'IEPR Gas Prices Real'!L78*(INDEX('GDP Deflator'!$D$6:$D$91,MATCH('IEPR Gas Prices Nominal'!$B76,'GDP Deflator'!$B$6:$B$91,0)))</f>
        <v>6.3894549315396318</v>
      </c>
      <c r="M76" s="91">
        <f>'IEPR Gas Prices Real'!M78*(INDEX('GDP Deflator'!$D$6:$D$91,MATCH('IEPR Gas Prices Nominal'!$B76,'GDP Deflator'!$B$6:$B$91,0)))</f>
        <v>0.90734198025114077</v>
      </c>
      <c r="N76" s="91">
        <f>'IEPR Gas Prices Real'!N78*(INDEX('GDP Deflator'!$D$6:$D$91,MATCH('IEPR Gas Prices Nominal'!$B76,'GDP Deflator'!$B$6:$B$91,0)))</f>
        <v>7.2967969117907732</v>
      </c>
      <c r="O76" s="19"/>
      <c r="P76" s="229">
        <f t="shared" si="12"/>
        <v>6.1438482599147592</v>
      </c>
      <c r="Q76" s="229">
        <f t="shared" si="16"/>
        <v>7.4745786570927608</v>
      </c>
      <c r="R76" s="144"/>
    </row>
    <row r="77" spans="2:18">
      <c r="B77" s="142">
        <f t="shared" si="13"/>
        <v>2027</v>
      </c>
      <c r="C77" s="19">
        <f t="shared" si="14"/>
        <v>12</v>
      </c>
      <c r="D77" s="143">
        <v>46722</v>
      </c>
      <c r="E77" s="19" t="str">
        <f t="shared" si="15"/>
        <v>12-2027</v>
      </c>
      <c r="F77" s="91">
        <f>'IEPR Gas Prices Real'!F79*(INDEX('GDP Deflator'!$D$6:$D$91,MATCH('IEPR Gas Prices Nominal'!$B77,'GDP Deflator'!$B$6:$B$91,0)))</f>
        <v>5.9202857589208486</v>
      </c>
      <c r="G77" s="91">
        <f>'IEPR Gas Prices Real'!G79*(INDEX('GDP Deflator'!$D$6:$D$91,MATCH('IEPR Gas Prices Nominal'!$B77,'GDP Deflator'!$B$6:$B$91,0)))</f>
        <v>1.1635487828050251</v>
      </c>
      <c r="H77" s="91">
        <f>'IEPR Gas Prices Real'!H79*(INDEX('GDP Deflator'!$D$6:$D$91,MATCH('IEPR Gas Prices Nominal'!$B77,'GDP Deflator'!$B$6:$B$91,0)))</f>
        <v>7.0838345417258735</v>
      </c>
      <c r="I77" s="91">
        <f>'IEPR Gas Prices Real'!I79*(INDEX('GDP Deflator'!$D$6:$D$91,MATCH('IEPR Gas Prices Nominal'!$B77,'GDP Deflator'!$B$6:$B$91,0)))</f>
        <v>6.2181027155013249</v>
      </c>
      <c r="J77" s="91">
        <f>'IEPR Gas Prices Real'!J79*(INDEX('GDP Deflator'!$D$6:$D$91,MATCH('IEPR Gas Prices Nominal'!$B77,'GDP Deflator'!$B$6:$B$91,0)))</f>
        <v>1.9213004284778368</v>
      </c>
      <c r="K77" s="91">
        <f>'IEPR Gas Prices Real'!K79*(INDEX('GDP Deflator'!$D$6:$D$91,MATCH('IEPR Gas Prices Nominal'!$B77,'GDP Deflator'!$B$6:$B$91,0)))</f>
        <v>8.1394031439791608</v>
      </c>
      <c r="L77" s="91">
        <f>'IEPR Gas Prices Real'!L79*(INDEX('GDP Deflator'!$D$6:$D$91,MATCH('IEPR Gas Prices Nominal'!$B77,'GDP Deflator'!$B$6:$B$91,0)))</f>
        <v>6.4405640837424203</v>
      </c>
      <c r="M77" s="91">
        <f>'IEPR Gas Prices Real'!M79*(INDEX('GDP Deflator'!$D$6:$D$91,MATCH('IEPR Gas Prices Nominal'!$B77,'GDP Deflator'!$B$6:$B$91,0)))</f>
        <v>0.90734198025114077</v>
      </c>
      <c r="N77" s="91">
        <f>'IEPR Gas Prices Real'!N79*(INDEX('GDP Deflator'!$D$6:$D$91,MATCH('IEPR Gas Prices Nominal'!$B77,'GDP Deflator'!$B$6:$B$91,0)))</f>
        <v>7.3479060639935616</v>
      </c>
      <c r="O77" s="19"/>
      <c r="P77" s="229">
        <f t="shared" si="12"/>
        <v>6.1929841860548649</v>
      </c>
      <c r="Q77" s="229">
        <f t="shared" si="16"/>
        <v>7.5237145832328656</v>
      </c>
      <c r="R77" s="144"/>
    </row>
    <row r="78" spans="2:18">
      <c r="B78" s="142">
        <f t="shared" si="13"/>
        <v>2028</v>
      </c>
      <c r="C78" s="19">
        <f t="shared" si="14"/>
        <v>1</v>
      </c>
      <c r="D78" s="143">
        <v>46753</v>
      </c>
      <c r="E78" s="19" t="str">
        <f t="shared" si="15"/>
        <v>1-2028</v>
      </c>
      <c r="F78" s="91">
        <f>'IEPR Gas Prices Real'!F80*(INDEX('GDP Deflator'!$D$6:$D$91,MATCH('IEPR Gas Prices Nominal'!$B78,'GDP Deflator'!$B$6:$B$91,0)))</f>
        <v>6.0461000294746645</v>
      </c>
      <c r="G78" s="91">
        <f>'IEPR Gas Prices Real'!G80*(INDEX('GDP Deflator'!$D$6:$D$91,MATCH('IEPR Gas Prices Nominal'!$B78,'GDP Deflator'!$B$6:$B$91,0)))</f>
        <v>1.2357634876766872</v>
      </c>
      <c r="H78" s="91">
        <f>'IEPR Gas Prices Real'!H80*(INDEX('GDP Deflator'!$D$6:$D$91,MATCH('IEPR Gas Prices Nominal'!$B78,'GDP Deflator'!$B$6:$B$91,0)))</f>
        <v>7.2818635171513515</v>
      </c>
      <c r="I78" s="91">
        <f>'IEPR Gas Prices Real'!I80*(INDEX('GDP Deflator'!$D$6:$D$91,MATCH('IEPR Gas Prices Nominal'!$B78,'GDP Deflator'!$B$6:$B$91,0)))</f>
        <v>6.3502188903111048</v>
      </c>
      <c r="J78" s="91">
        <f>'IEPR Gas Prices Real'!J80*(INDEX('GDP Deflator'!$D$6:$D$91,MATCH('IEPR Gas Prices Nominal'!$B78,'GDP Deflator'!$B$6:$B$91,0)))</f>
        <v>2.0405443703414892</v>
      </c>
      <c r="K78" s="91">
        <f>'IEPR Gas Prices Real'!K80*(INDEX('GDP Deflator'!$D$6:$D$91,MATCH('IEPR Gas Prices Nominal'!$B78,'GDP Deflator'!$B$6:$B$91,0)))</f>
        <v>8.3907632606525944</v>
      </c>
      <c r="L78" s="91">
        <f>'IEPR Gas Prices Real'!L80*(INDEX('GDP Deflator'!$D$6:$D$91,MATCH('IEPR Gas Prices Nominal'!$B78,'GDP Deflator'!$B$6:$B$91,0)))</f>
        <v>6.5774734409446713</v>
      </c>
      <c r="M78" s="91">
        <f>'IEPR Gas Prices Real'!M80*(INDEX('GDP Deflator'!$D$6:$D$91,MATCH('IEPR Gas Prices Nominal'!$B78,'GDP Deflator'!$B$6:$B$91,0)))</f>
        <v>0.9636554191802289</v>
      </c>
      <c r="N78" s="91">
        <f>'IEPR Gas Prices Real'!N80*(INDEX('GDP Deflator'!$D$6:$D$91,MATCH('IEPR Gas Prices Nominal'!$B78,'GDP Deflator'!$B$6:$B$91,0)))</f>
        <v>7.5411288601249007</v>
      </c>
      <c r="O78" s="19"/>
      <c r="P78" s="229">
        <f t="shared" si="12"/>
        <v>6.3245974535768141</v>
      </c>
      <c r="Q78" s="229">
        <f t="shared" si="16"/>
        <v>7.7379185459762816</v>
      </c>
      <c r="R78" s="144"/>
    </row>
    <row r="79" spans="2:18">
      <c r="B79" s="142">
        <f t="shared" si="13"/>
        <v>2028</v>
      </c>
      <c r="C79" s="19">
        <f t="shared" si="14"/>
        <v>2</v>
      </c>
      <c r="D79" s="143">
        <v>46784</v>
      </c>
      <c r="E79" s="19" t="str">
        <f t="shared" si="15"/>
        <v>2-2028</v>
      </c>
      <c r="F79" s="91">
        <f>'IEPR Gas Prices Real'!F81*(INDEX('GDP Deflator'!$D$6:$D$91,MATCH('IEPR Gas Prices Nominal'!$B79,'GDP Deflator'!$B$6:$B$91,0)))</f>
        <v>5.9134010306696343</v>
      </c>
      <c r="G79" s="91">
        <f>'IEPR Gas Prices Real'!G81*(INDEX('GDP Deflator'!$D$6:$D$91,MATCH('IEPR Gas Prices Nominal'!$B79,'GDP Deflator'!$B$6:$B$91,0)))</f>
        <v>1.2357634876766872</v>
      </c>
      <c r="H79" s="91">
        <f>'IEPR Gas Prices Real'!H81*(INDEX('GDP Deflator'!$D$6:$D$91,MATCH('IEPR Gas Prices Nominal'!$B79,'GDP Deflator'!$B$6:$B$91,0)))</f>
        <v>7.1491645183463213</v>
      </c>
      <c r="I79" s="91">
        <f>'IEPR Gas Prices Real'!I81*(INDEX('GDP Deflator'!$D$6:$D$91,MATCH('IEPR Gas Prices Nominal'!$B79,'GDP Deflator'!$B$6:$B$91,0)))</f>
        <v>6.2108186044902656</v>
      </c>
      <c r="J79" s="91">
        <f>'IEPR Gas Prices Real'!J81*(INDEX('GDP Deflator'!$D$6:$D$91,MATCH('IEPR Gas Prices Nominal'!$B79,'GDP Deflator'!$B$6:$B$91,0)))</f>
        <v>2.0405443703414892</v>
      </c>
      <c r="K79" s="91">
        <f>'IEPR Gas Prices Real'!K81*(INDEX('GDP Deflator'!$D$6:$D$91,MATCH('IEPR Gas Prices Nominal'!$B79,'GDP Deflator'!$B$6:$B$91,0)))</f>
        <v>8.2513629748317534</v>
      </c>
      <c r="L79" s="91">
        <f>'IEPR Gas Prices Real'!L81*(INDEX('GDP Deflator'!$D$6:$D$91,MATCH('IEPR Gas Prices Nominal'!$B79,'GDP Deflator'!$B$6:$B$91,0)))</f>
        <v>6.4331495419616163</v>
      </c>
      <c r="M79" s="91">
        <f>'IEPR Gas Prices Real'!M81*(INDEX('GDP Deflator'!$D$6:$D$91,MATCH('IEPR Gas Prices Nominal'!$B79,'GDP Deflator'!$B$6:$B$91,0)))</f>
        <v>0.9636554191802289</v>
      </c>
      <c r="N79" s="91">
        <f>'IEPR Gas Prices Real'!N81*(INDEX('GDP Deflator'!$D$6:$D$91,MATCH('IEPR Gas Prices Nominal'!$B79,'GDP Deflator'!$B$6:$B$91,0)))</f>
        <v>7.3968049611418456</v>
      </c>
      <c r="O79" s="19"/>
      <c r="P79" s="229">
        <f t="shared" si="12"/>
        <v>6.1857897257071714</v>
      </c>
      <c r="Q79" s="229">
        <f t="shared" si="16"/>
        <v>7.5991108181066407</v>
      </c>
      <c r="R79" s="144"/>
    </row>
    <row r="80" spans="2:18">
      <c r="B80" s="142">
        <f t="shared" si="13"/>
        <v>2028</v>
      </c>
      <c r="C80" s="19">
        <f t="shared" si="14"/>
        <v>3</v>
      </c>
      <c r="D80" s="143">
        <v>46813</v>
      </c>
      <c r="E80" s="19" t="str">
        <f t="shared" si="15"/>
        <v>3-2028</v>
      </c>
      <c r="F80" s="91">
        <f>'IEPR Gas Prices Real'!F82*(INDEX('GDP Deflator'!$D$6:$D$91,MATCH('IEPR Gas Prices Nominal'!$B80,'GDP Deflator'!$B$6:$B$91,0)))</f>
        <v>5.4283908603311239</v>
      </c>
      <c r="G80" s="91">
        <f>'IEPR Gas Prices Real'!G82*(INDEX('GDP Deflator'!$D$6:$D$91,MATCH('IEPR Gas Prices Nominal'!$B80,'GDP Deflator'!$B$6:$B$91,0)))</f>
        <v>1.2357634876766872</v>
      </c>
      <c r="H80" s="91">
        <f>'IEPR Gas Prices Real'!H82*(INDEX('GDP Deflator'!$D$6:$D$91,MATCH('IEPR Gas Prices Nominal'!$B80,'GDP Deflator'!$B$6:$B$91,0)))</f>
        <v>6.6641543480078109</v>
      </c>
      <c r="I80" s="91">
        <f>'IEPR Gas Prices Real'!I82*(INDEX('GDP Deflator'!$D$6:$D$91,MATCH('IEPR Gas Prices Nominal'!$B80,'GDP Deflator'!$B$6:$B$91,0)))</f>
        <v>5.7013902417140301</v>
      </c>
      <c r="J80" s="91">
        <f>'IEPR Gas Prices Real'!J82*(INDEX('GDP Deflator'!$D$6:$D$91,MATCH('IEPR Gas Prices Nominal'!$B80,'GDP Deflator'!$B$6:$B$91,0)))</f>
        <v>2.0405443703414892</v>
      </c>
      <c r="K80" s="91">
        <f>'IEPR Gas Prices Real'!K82*(INDEX('GDP Deflator'!$D$6:$D$91,MATCH('IEPR Gas Prices Nominal'!$B80,'GDP Deflator'!$B$6:$B$91,0)))</f>
        <v>7.7419346120555188</v>
      </c>
      <c r="L80" s="91">
        <f>'IEPR Gas Prices Real'!L82*(INDEX('GDP Deflator'!$D$6:$D$91,MATCH('IEPR Gas Prices Nominal'!$B80,'GDP Deflator'!$B$6:$B$91,0)))</f>
        <v>5.9055447446911398</v>
      </c>
      <c r="M80" s="91">
        <f>'IEPR Gas Prices Real'!M82*(INDEX('GDP Deflator'!$D$6:$D$91,MATCH('IEPR Gas Prices Nominal'!$B80,'GDP Deflator'!$B$6:$B$91,0)))</f>
        <v>0.9636554191802289</v>
      </c>
      <c r="N80" s="91">
        <f>'IEPR Gas Prices Real'!N82*(INDEX('GDP Deflator'!$D$6:$D$91,MATCH('IEPR Gas Prices Nominal'!$B80,'GDP Deflator'!$B$6:$B$91,0)))</f>
        <v>6.8692001638713691</v>
      </c>
      <c r="O80" s="19"/>
      <c r="P80" s="229">
        <f t="shared" si="12"/>
        <v>5.6784419489120976</v>
      </c>
      <c r="Q80" s="229">
        <f t="shared" si="16"/>
        <v>7.091763041311566</v>
      </c>
      <c r="R80" s="144"/>
    </row>
    <row r="81" spans="2:18">
      <c r="B81" s="142">
        <f t="shared" si="13"/>
        <v>2028</v>
      </c>
      <c r="C81" s="19">
        <f t="shared" si="14"/>
        <v>4</v>
      </c>
      <c r="D81" s="143">
        <v>46844</v>
      </c>
      <c r="E81" s="19" t="str">
        <f t="shared" si="15"/>
        <v>4-2028</v>
      </c>
      <c r="F81" s="91">
        <f>'IEPR Gas Prices Real'!F83*(INDEX('GDP Deflator'!$D$6:$D$91,MATCH('IEPR Gas Prices Nominal'!$B81,'GDP Deflator'!$B$6:$B$91,0)))</f>
        <v>5.3358994162932678</v>
      </c>
      <c r="G81" s="91">
        <f>'IEPR Gas Prices Real'!G83*(INDEX('GDP Deflator'!$D$6:$D$91,MATCH('IEPR Gas Prices Nominal'!$B81,'GDP Deflator'!$B$6:$B$91,0)))</f>
        <v>1.2357634876766872</v>
      </c>
      <c r="H81" s="91">
        <f>'IEPR Gas Prices Real'!H83*(INDEX('GDP Deflator'!$D$6:$D$91,MATCH('IEPR Gas Prices Nominal'!$B81,'GDP Deflator'!$B$6:$B$91,0)))</f>
        <v>6.5716629039699548</v>
      </c>
      <c r="I81" s="91">
        <f>'IEPR Gas Prices Real'!I83*(INDEX('GDP Deflator'!$D$6:$D$91,MATCH('IEPR Gas Prices Nominal'!$B81,'GDP Deflator'!$B$6:$B$91,0)))</f>
        <v>5.6042233650943283</v>
      </c>
      <c r="J81" s="91">
        <f>'IEPR Gas Prices Real'!J83*(INDEX('GDP Deflator'!$D$6:$D$91,MATCH('IEPR Gas Prices Nominal'!$B81,'GDP Deflator'!$B$6:$B$91,0)))</f>
        <v>2.0405443703414892</v>
      </c>
      <c r="K81" s="91">
        <f>'IEPR Gas Prices Real'!K83*(INDEX('GDP Deflator'!$D$6:$D$91,MATCH('IEPR Gas Prices Nominal'!$B81,'GDP Deflator'!$B$6:$B$91,0)))</f>
        <v>7.644767735435817</v>
      </c>
      <c r="L81" s="91">
        <f>'IEPR Gas Prices Real'!L83*(INDEX('GDP Deflator'!$D$6:$D$91,MATCH('IEPR Gas Prices Nominal'!$B81,'GDP Deflator'!$B$6:$B$91,0)))</f>
        <v>5.8049572795269775</v>
      </c>
      <c r="M81" s="91">
        <f>'IEPR Gas Prices Real'!M83*(INDEX('GDP Deflator'!$D$6:$D$91,MATCH('IEPR Gas Prices Nominal'!$B81,'GDP Deflator'!$B$6:$B$91,0)))</f>
        <v>0.9636554191802289</v>
      </c>
      <c r="N81" s="91">
        <f>'IEPR Gas Prices Real'!N83*(INDEX('GDP Deflator'!$D$6:$D$91,MATCH('IEPR Gas Prices Nominal'!$B81,'GDP Deflator'!$B$6:$B$91,0)))</f>
        <v>6.7686126987072068</v>
      </c>
      <c r="O81" s="19"/>
      <c r="P81" s="229">
        <f t="shared" si="12"/>
        <v>5.5816933536381912</v>
      </c>
      <c r="Q81" s="229">
        <f t="shared" si="16"/>
        <v>6.9950144460376604</v>
      </c>
      <c r="R81" s="144"/>
    </row>
    <row r="82" spans="2:18">
      <c r="B82" s="142">
        <f t="shared" si="13"/>
        <v>2028</v>
      </c>
      <c r="C82" s="19">
        <f t="shared" si="14"/>
        <v>5</v>
      </c>
      <c r="D82" s="143">
        <v>46874</v>
      </c>
      <c r="E82" s="19" t="str">
        <f t="shared" si="15"/>
        <v>5-2028</v>
      </c>
      <c r="F82" s="91">
        <f>'IEPR Gas Prices Real'!F84*(INDEX('GDP Deflator'!$D$6:$D$91,MATCH('IEPR Gas Prices Nominal'!$B82,'GDP Deflator'!$B$6:$B$91,0)))</f>
        <v>5.521475177701749</v>
      </c>
      <c r="G82" s="91">
        <f>'IEPR Gas Prices Real'!G84*(INDEX('GDP Deflator'!$D$6:$D$91,MATCH('IEPR Gas Prices Nominal'!$B82,'GDP Deflator'!$B$6:$B$91,0)))</f>
        <v>1.2357634876766872</v>
      </c>
      <c r="H82" s="91">
        <f>'IEPR Gas Prices Real'!H84*(INDEX('GDP Deflator'!$D$6:$D$91,MATCH('IEPR Gas Prices Nominal'!$B82,'GDP Deflator'!$B$6:$B$91,0)))</f>
        <v>6.757238665378436</v>
      </c>
      <c r="I82" s="91">
        <f>'IEPR Gas Prices Real'!I84*(INDEX('GDP Deflator'!$D$6:$D$91,MATCH('IEPR Gas Prices Nominal'!$B82,'GDP Deflator'!$B$6:$B$91,0)))</f>
        <v>5.7991063122070186</v>
      </c>
      <c r="J82" s="91">
        <f>'IEPR Gas Prices Real'!J84*(INDEX('GDP Deflator'!$D$6:$D$91,MATCH('IEPR Gas Prices Nominal'!$B82,'GDP Deflator'!$B$6:$B$91,0)))</f>
        <v>2.0405443703414892</v>
      </c>
      <c r="K82" s="91">
        <f>'IEPR Gas Prices Real'!K84*(INDEX('GDP Deflator'!$D$6:$D$91,MATCH('IEPR Gas Prices Nominal'!$B82,'GDP Deflator'!$B$6:$B$91,0)))</f>
        <v>7.8396506825485073</v>
      </c>
      <c r="L82" s="91">
        <f>'IEPR Gas Prices Real'!L84*(INDEX('GDP Deflator'!$D$6:$D$91,MATCH('IEPR Gas Prices Nominal'!$B82,'GDP Deflator'!$B$6:$B$91,0)))</f>
        <v>6.006881407432143</v>
      </c>
      <c r="M82" s="91">
        <f>'IEPR Gas Prices Real'!M84*(INDEX('GDP Deflator'!$D$6:$D$91,MATCH('IEPR Gas Prices Nominal'!$B82,'GDP Deflator'!$B$6:$B$91,0)))</f>
        <v>0.9636554191802289</v>
      </c>
      <c r="N82" s="91">
        <f>'IEPR Gas Prices Real'!N84*(INDEX('GDP Deflator'!$D$6:$D$91,MATCH('IEPR Gas Prices Nominal'!$B82,'GDP Deflator'!$B$6:$B$91,0)))</f>
        <v>6.9705368266123724</v>
      </c>
      <c r="O82" s="19"/>
      <c r="P82" s="229">
        <f t="shared" si="12"/>
        <v>5.7758209657803041</v>
      </c>
      <c r="Q82" s="229">
        <f t="shared" si="16"/>
        <v>7.1891420581797716</v>
      </c>
      <c r="R82" s="144"/>
    </row>
    <row r="83" spans="2:18">
      <c r="B83" s="142">
        <f t="shared" si="13"/>
        <v>2028</v>
      </c>
      <c r="C83" s="19">
        <f t="shared" si="14"/>
        <v>6</v>
      </c>
      <c r="D83" s="143">
        <v>46905</v>
      </c>
      <c r="E83" s="19" t="str">
        <f t="shared" si="15"/>
        <v>6-2028</v>
      </c>
      <c r="F83" s="91">
        <f>'IEPR Gas Prices Real'!F85*(INDEX('GDP Deflator'!$D$6:$D$91,MATCH('IEPR Gas Prices Nominal'!$B83,'GDP Deflator'!$B$6:$B$91,0)))</f>
        <v>5.6640848214715884</v>
      </c>
      <c r="G83" s="91">
        <f>'IEPR Gas Prices Real'!G85*(INDEX('GDP Deflator'!$D$6:$D$91,MATCH('IEPR Gas Prices Nominal'!$B83,'GDP Deflator'!$B$6:$B$91,0)))</f>
        <v>1.2357634876766872</v>
      </c>
      <c r="H83" s="91">
        <f>'IEPR Gas Prices Real'!H85*(INDEX('GDP Deflator'!$D$6:$D$91,MATCH('IEPR Gas Prices Nominal'!$B83,'GDP Deflator'!$B$6:$B$91,0)))</f>
        <v>6.8998483091482754</v>
      </c>
      <c r="I83" s="91">
        <f>'IEPR Gas Prices Real'!I85*(INDEX('GDP Deflator'!$D$6:$D$91,MATCH('IEPR Gas Prices Nominal'!$B83,'GDP Deflator'!$B$6:$B$91,0)))</f>
        <v>5.9488612407912562</v>
      </c>
      <c r="J83" s="91">
        <f>'IEPR Gas Prices Real'!J85*(INDEX('GDP Deflator'!$D$6:$D$91,MATCH('IEPR Gas Prices Nominal'!$B83,'GDP Deflator'!$B$6:$B$91,0)))</f>
        <v>2.0405443703414892</v>
      </c>
      <c r="K83" s="91">
        <f>'IEPR Gas Prices Real'!K85*(INDEX('GDP Deflator'!$D$6:$D$91,MATCH('IEPR Gas Prices Nominal'!$B83,'GDP Deflator'!$B$6:$B$91,0)))</f>
        <v>7.9894056111327449</v>
      </c>
      <c r="L83" s="91">
        <f>'IEPR Gas Prices Real'!L85*(INDEX('GDP Deflator'!$D$6:$D$91,MATCH('IEPR Gas Prices Nominal'!$B83,'GDP Deflator'!$B$6:$B$91,0)))</f>
        <v>6.162064255391221</v>
      </c>
      <c r="M83" s="91">
        <f>'IEPR Gas Prices Real'!M85*(INDEX('GDP Deflator'!$D$6:$D$91,MATCH('IEPR Gas Prices Nominal'!$B83,'GDP Deflator'!$B$6:$B$91,0)))</f>
        <v>0.9636554191802289</v>
      </c>
      <c r="N83" s="91">
        <f>'IEPR Gas Prices Real'!N85*(INDEX('GDP Deflator'!$D$6:$D$91,MATCH('IEPR Gas Prices Nominal'!$B83,'GDP Deflator'!$B$6:$B$91,0)))</f>
        <v>7.1257196745714495</v>
      </c>
      <c r="O83" s="19"/>
      <c r="P83" s="229">
        <f t="shared" si="12"/>
        <v>5.9250034392180213</v>
      </c>
      <c r="Q83" s="229">
        <f t="shared" si="16"/>
        <v>7.3383245316174905</v>
      </c>
      <c r="R83" s="144"/>
    </row>
    <row r="84" spans="2:18">
      <c r="B84" s="142">
        <f t="shared" si="13"/>
        <v>2028</v>
      </c>
      <c r="C84" s="19">
        <f t="shared" si="14"/>
        <v>7</v>
      </c>
      <c r="D84" s="143">
        <v>46935</v>
      </c>
      <c r="E84" s="19" t="str">
        <f t="shared" si="15"/>
        <v>7-2028</v>
      </c>
      <c r="F84" s="91">
        <f>'IEPR Gas Prices Real'!F86*(INDEX('GDP Deflator'!$D$6:$D$91,MATCH('IEPR Gas Prices Nominal'!$B84,'GDP Deflator'!$B$6:$B$91,0)))</f>
        <v>5.7088878260083238</v>
      </c>
      <c r="G84" s="91">
        <f>'IEPR Gas Prices Real'!G86*(INDEX('GDP Deflator'!$D$6:$D$91,MATCH('IEPR Gas Prices Nominal'!$B84,'GDP Deflator'!$B$6:$B$91,0)))</f>
        <v>1.2357634876766872</v>
      </c>
      <c r="H84" s="91">
        <f>'IEPR Gas Prices Real'!H86*(INDEX('GDP Deflator'!$D$6:$D$91,MATCH('IEPR Gas Prices Nominal'!$B84,'GDP Deflator'!$B$6:$B$91,0)))</f>
        <v>6.9446513136850108</v>
      </c>
      <c r="I84" s="91">
        <f>'IEPR Gas Prices Real'!I86*(INDEX('GDP Deflator'!$D$6:$D$91,MATCH('IEPR Gas Prices Nominal'!$B84,'GDP Deflator'!$B$6:$B$91,0)))</f>
        <v>5.9958912055451155</v>
      </c>
      <c r="J84" s="91">
        <f>'IEPR Gas Prices Real'!J86*(INDEX('GDP Deflator'!$D$6:$D$91,MATCH('IEPR Gas Prices Nominal'!$B84,'GDP Deflator'!$B$6:$B$91,0)))</f>
        <v>2.0405443703414892</v>
      </c>
      <c r="K84" s="91">
        <f>'IEPR Gas Prices Real'!K86*(INDEX('GDP Deflator'!$D$6:$D$91,MATCH('IEPR Gas Prices Nominal'!$B84,'GDP Deflator'!$B$6:$B$91,0)))</f>
        <v>8.0364355758866033</v>
      </c>
      <c r="L84" s="91">
        <f>'IEPR Gas Prices Real'!L86*(INDEX('GDP Deflator'!$D$6:$D$91,MATCH('IEPR Gas Prices Nominal'!$B84,'GDP Deflator'!$B$6:$B$91,0)))</f>
        <v>6.2108426210060497</v>
      </c>
      <c r="M84" s="91">
        <f>'IEPR Gas Prices Real'!M86*(INDEX('GDP Deflator'!$D$6:$D$91,MATCH('IEPR Gas Prices Nominal'!$B84,'GDP Deflator'!$B$6:$B$91,0)))</f>
        <v>0.9636554191802289</v>
      </c>
      <c r="N84" s="91">
        <f>'IEPR Gas Prices Real'!N86*(INDEX('GDP Deflator'!$D$6:$D$91,MATCH('IEPR Gas Prices Nominal'!$B84,'GDP Deflator'!$B$6:$B$91,0)))</f>
        <v>7.1744980401862781</v>
      </c>
      <c r="O84" s="19"/>
      <c r="P84" s="229">
        <f t="shared" si="12"/>
        <v>5.971873884186496</v>
      </c>
      <c r="Q84" s="229">
        <f t="shared" si="16"/>
        <v>7.3851949765859644</v>
      </c>
      <c r="R84" s="144"/>
    </row>
    <row r="85" spans="2:18">
      <c r="B85" s="142">
        <f t="shared" si="13"/>
        <v>2028</v>
      </c>
      <c r="C85" s="19">
        <f t="shared" si="14"/>
        <v>8</v>
      </c>
      <c r="D85" s="143">
        <v>46966</v>
      </c>
      <c r="E85" s="19" t="str">
        <f t="shared" si="15"/>
        <v>8-2028</v>
      </c>
      <c r="F85" s="91">
        <f>'IEPR Gas Prices Real'!F87*(INDEX('GDP Deflator'!$D$6:$D$91,MATCH('IEPR Gas Prices Nominal'!$B85,'GDP Deflator'!$B$6:$B$91,0)))</f>
        <v>5.6646603214735753</v>
      </c>
      <c r="G85" s="91">
        <f>'IEPR Gas Prices Real'!G87*(INDEX('GDP Deflator'!$D$6:$D$91,MATCH('IEPR Gas Prices Nominal'!$B85,'GDP Deflator'!$B$6:$B$91,0)))</f>
        <v>1.2357634876766872</v>
      </c>
      <c r="H85" s="91">
        <f>'IEPR Gas Prices Real'!H87*(INDEX('GDP Deflator'!$D$6:$D$91,MATCH('IEPR Gas Prices Nominal'!$B85,'GDP Deflator'!$B$6:$B$91,0)))</f>
        <v>6.9004238091502614</v>
      </c>
      <c r="I85" s="91">
        <f>'IEPR Gas Prices Real'!I87*(INDEX('GDP Deflator'!$D$6:$D$91,MATCH('IEPR Gas Prices Nominal'!$B85,'GDP Deflator'!$B$6:$B$91,0)))</f>
        <v>5.9494148173521708</v>
      </c>
      <c r="J85" s="91">
        <f>'IEPR Gas Prices Real'!J87*(INDEX('GDP Deflator'!$D$6:$D$91,MATCH('IEPR Gas Prices Nominal'!$B85,'GDP Deflator'!$B$6:$B$91,0)))</f>
        <v>2.0405443703414892</v>
      </c>
      <c r="K85" s="91">
        <f>'IEPR Gas Prices Real'!K87*(INDEX('GDP Deflator'!$D$6:$D$91,MATCH('IEPR Gas Prices Nominal'!$B85,'GDP Deflator'!$B$6:$B$91,0)))</f>
        <v>7.9899591876936595</v>
      </c>
      <c r="L85" s="91">
        <f>'IEPR Gas Prices Real'!L87*(INDEX('GDP Deflator'!$D$6:$D$91,MATCH('IEPR Gas Prices Nominal'!$B85,'GDP Deflator'!$B$6:$B$91,0)))</f>
        <v>6.1627624654017987</v>
      </c>
      <c r="M85" s="91">
        <f>'IEPR Gas Prices Real'!M87*(INDEX('GDP Deflator'!$D$6:$D$91,MATCH('IEPR Gas Prices Nominal'!$B85,'GDP Deflator'!$B$6:$B$91,0)))</f>
        <v>0.9636554191802289</v>
      </c>
      <c r="N85" s="91">
        <f>'IEPR Gas Prices Real'!N87*(INDEX('GDP Deflator'!$D$6:$D$91,MATCH('IEPR Gas Prices Nominal'!$B85,'GDP Deflator'!$B$6:$B$91,0)))</f>
        <v>7.1264178845820272</v>
      </c>
      <c r="O85" s="19"/>
      <c r="P85" s="229">
        <f t="shared" si="12"/>
        <v>5.9256125347425153</v>
      </c>
      <c r="Q85" s="229">
        <f t="shared" si="16"/>
        <v>7.3389336271419836</v>
      </c>
      <c r="R85" s="144"/>
    </row>
    <row r="86" spans="2:18">
      <c r="B86" s="142">
        <f t="shared" si="13"/>
        <v>2028</v>
      </c>
      <c r="C86" s="19">
        <f t="shared" si="14"/>
        <v>9</v>
      </c>
      <c r="D86" s="143">
        <v>46997</v>
      </c>
      <c r="E86" s="19" t="str">
        <f t="shared" si="15"/>
        <v>9-2028</v>
      </c>
      <c r="F86" s="91">
        <f>'IEPR Gas Prices Real'!F88*(INDEX('GDP Deflator'!$D$6:$D$91,MATCH('IEPR Gas Prices Nominal'!$B86,'GDP Deflator'!$B$6:$B$91,0)))</f>
        <v>5.7442053463018272</v>
      </c>
      <c r="G86" s="91">
        <f>'IEPR Gas Prices Real'!G88*(INDEX('GDP Deflator'!$D$6:$D$91,MATCH('IEPR Gas Prices Nominal'!$B86,'GDP Deflator'!$B$6:$B$91,0)))</f>
        <v>1.2357634876766872</v>
      </c>
      <c r="H86" s="91">
        <f>'IEPR Gas Prices Real'!H88*(INDEX('GDP Deflator'!$D$6:$D$91,MATCH('IEPR Gas Prices Nominal'!$B86,'GDP Deflator'!$B$6:$B$91,0)))</f>
        <v>6.9799688339785142</v>
      </c>
      <c r="I86" s="91">
        <f>'IEPR Gas Prices Real'!I88*(INDEX('GDP Deflator'!$D$6:$D$91,MATCH('IEPR Gas Prices Nominal'!$B86,'GDP Deflator'!$B$6:$B$91,0)))</f>
        <v>6.0329326673367252</v>
      </c>
      <c r="J86" s="91">
        <f>'IEPR Gas Prices Real'!J88*(INDEX('GDP Deflator'!$D$6:$D$91,MATCH('IEPR Gas Prices Nominal'!$B86,'GDP Deflator'!$B$6:$B$91,0)))</f>
        <v>2.0405443703414892</v>
      </c>
      <c r="K86" s="91">
        <f>'IEPR Gas Prices Real'!K88*(INDEX('GDP Deflator'!$D$6:$D$91,MATCH('IEPR Gas Prices Nominal'!$B86,'GDP Deflator'!$B$6:$B$91,0)))</f>
        <v>8.0734770376782148</v>
      </c>
      <c r="L86" s="91">
        <f>'IEPR Gas Prices Real'!L88*(INDEX('GDP Deflator'!$D$6:$D$91,MATCH('IEPR Gas Prices Nominal'!$B86,'GDP Deflator'!$B$6:$B$91,0)))</f>
        <v>6.2493385743147956</v>
      </c>
      <c r="M86" s="91">
        <f>'IEPR Gas Prices Real'!M88*(INDEX('GDP Deflator'!$D$6:$D$91,MATCH('IEPR Gas Prices Nominal'!$B86,'GDP Deflator'!$B$6:$B$91,0)))</f>
        <v>0.9636554191802289</v>
      </c>
      <c r="N86" s="91">
        <f>'IEPR Gas Prices Real'!N88*(INDEX('GDP Deflator'!$D$6:$D$91,MATCH('IEPR Gas Prices Nominal'!$B86,'GDP Deflator'!$B$6:$B$91,0)))</f>
        <v>7.212993993495024</v>
      </c>
      <c r="O86" s="19"/>
      <c r="P86" s="229">
        <f t="shared" si="12"/>
        <v>6.0088255293177824</v>
      </c>
      <c r="Q86" s="229">
        <f t="shared" si="16"/>
        <v>7.4221466217172507</v>
      </c>
      <c r="R86" s="144"/>
    </row>
    <row r="87" spans="2:18">
      <c r="B87" s="142">
        <f t="shared" si="13"/>
        <v>2028</v>
      </c>
      <c r="C87" s="19">
        <f t="shared" si="14"/>
        <v>10</v>
      </c>
      <c r="D87" s="143">
        <v>47027</v>
      </c>
      <c r="E87" s="19" t="str">
        <f t="shared" si="15"/>
        <v>10-2028</v>
      </c>
      <c r="F87" s="91">
        <f>'IEPR Gas Prices Real'!F89*(INDEX('GDP Deflator'!$D$6:$D$91,MATCH('IEPR Gas Prices Nominal'!$B87,'GDP Deflator'!$B$6:$B$91,0)))</f>
        <v>5.710971710942581</v>
      </c>
      <c r="G87" s="91">
        <f>'IEPR Gas Prices Real'!G89*(INDEX('GDP Deflator'!$D$6:$D$91,MATCH('IEPR Gas Prices Nominal'!$B87,'GDP Deflator'!$B$6:$B$91,0)))</f>
        <v>1.2357634876766872</v>
      </c>
      <c r="H87" s="91">
        <f>'IEPR Gas Prices Real'!H89*(INDEX('GDP Deflator'!$D$6:$D$91,MATCH('IEPR Gas Prices Nominal'!$B87,'GDP Deflator'!$B$6:$B$91,0)))</f>
        <v>6.946735198619268</v>
      </c>
      <c r="I87" s="91">
        <f>'IEPR Gas Prices Real'!I89*(INDEX('GDP Deflator'!$D$6:$D$91,MATCH('IEPR Gas Prices Nominal'!$B87,'GDP Deflator'!$B$6:$B$91,0)))</f>
        <v>5.9980029278308438</v>
      </c>
      <c r="J87" s="91">
        <f>'IEPR Gas Prices Real'!J89*(INDEX('GDP Deflator'!$D$6:$D$91,MATCH('IEPR Gas Prices Nominal'!$B87,'GDP Deflator'!$B$6:$B$91,0)))</f>
        <v>2.0405443703414892</v>
      </c>
      <c r="K87" s="91">
        <f>'IEPR Gas Prices Real'!K89*(INDEX('GDP Deflator'!$D$6:$D$91,MATCH('IEPR Gas Prices Nominal'!$B87,'GDP Deflator'!$B$6:$B$91,0)))</f>
        <v>8.0385472981723325</v>
      </c>
      <c r="L87" s="91">
        <f>'IEPR Gas Prices Real'!L89*(INDEX('GDP Deflator'!$D$6:$D$91,MATCH('IEPR Gas Prices Nominal'!$B87,'GDP Deflator'!$B$6:$B$91,0)))</f>
        <v>6.2132188065631206</v>
      </c>
      <c r="M87" s="91">
        <f>'IEPR Gas Prices Real'!M89*(INDEX('GDP Deflator'!$D$6:$D$91,MATCH('IEPR Gas Prices Nominal'!$B87,'GDP Deflator'!$B$6:$B$91,0)))</f>
        <v>0.9636554191802289</v>
      </c>
      <c r="N87" s="91">
        <f>'IEPR Gas Prices Real'!N89*(INDEX('GDP Deflator'!$D$6:$D$91,MATCH('IEPR Gas Prices Nominal'!$B87,'GDP Deflator'!$B$6:$B$91,0)))</f>
        <v>7.1768742257433491</v>
      </c>
      <c r="O87" s="19"/>
      <c r="P87" s="229">
        <f t="shared" si="12"/>
        <v>5.9740644817788491</v>
      </c>
      <c r="Q87" s="229">
        <f t="shared" si="16"/>
        <v>7.3873855741783174</v>
      </c>
      <c r="R87" s="144"/>
    </row>
    <row r="88" spans="2:18">
      <c r="B88" s="142">
        <f t="shared" si="13"/>
        <v>2028</v>
      </c>
      <c r="C88" s="19">
        <f t="shared" si="14"/>
        <v>11</v>
      </c>
      <c r="D88" s="143">
        <v>47058</v>
      </c>
      <c r="E88" s="19" t="str">
        <f t="shared" si="15"/>
        <v>11-2028</v>
      </c>
      <c r="F88" s="91">
        <f>'IEPR Gas Prices Real'!F90*(INDEX('GDP Deflator'!$D$6:$D$91,MATCH('IEPR Gas Prices Nominal'!$B88,'GDP Deflator'!$B$6:$B$91,0)))</f>
        <v>5.9931078361196706</v>
      </c>
      <c r="G88" s="91">
        <f>'IEPR Gas Prices Real'!G90*(INDEX('GDP Deflator'!$D$6:$D$91,MATCH('IEPR Gas Prices Nominal'!$B88,'GDP Deflator'!$B$6:$B$91,0)))</f>
        <v>1.2357634876766872</v>
      </c>
      <c r="H88" s="91">
        <f>'IEPR Gas Prices Real'!H90*(INDEX('GDP Deflator'!$D$6:$D$91,MATCH('IEPR Gas Prices Nominal'!$B88,'GDP Deflator'!$B$6:$B$91,0)))</f>
        <v>7.2288713237963576</v>
      </c>
      <c r="I88" s="91">
        <f>'IEPR Gas Prices Real'!I90*(INDEX('GDP Deflator'!$D$6:$D$91,MATCH('IEPR Gas Prices Nominal'!$B88,'GDP Deflator'!$B$6:$B$91,0)))</f>
        <v>6.2942921891555503</v>
      </c>
      <c r="J88" s="91">
        <f>'IEPR Gas Prices Real'!J90*(INDEX('GDP Deflator'!$D$6:$D$91,MATCH('IEPR Gas Prices Nominal'!$B88,'GDP Deflator'!$B$6:$B$91,0)))</f>
        <v>2.0405443703414892</v>
      </c>
      <c r="K88" s="91">
        <f>'IEPR Gas Prices Real'!K90*(INDEX('GDP Deflator'!$D$6:$D$91,MATCH('IEPR Gas Prices Nominal'!$B88,'GDP Deflator'!$B$6:$B$91,0)))</f>
        <v>8.3348365594970399</v>
      </c>
      <c r="L88" s="91">
        <f>'IEPR Gas Prices Real'!L90*(INDEX('GDP Deflator'!$D$6:$D$91,MATCH('IEPR Gas Prices Nominal'!$B88,'GDP Deflator'!$B$6:$B$91,0)))</f>
        <v>6.5202053446283763</v>
      </c>
      <c r="M88" s="91">
        <f>'IEPR Gas Prices Real'!M90*(INDEX('GDP Deflator'!$D$6:$D$91,MATCH('IEPR Gas Prices Nominal'!$B88,'GDP Deflator'!$B$6:$B$91,0)))</f>
        <v>0.9636554191802289</v>
      </c>
      <c r="N88" s="91">
        <f>'IEPR Gas Prices Real'!N90*(INDEX('GDP Deflator'!$D$6:$D$91,MATCH('IEPR Gas Prices Nominal'!$B88,'GDP Deflator'!$B$6:$B$91,0)))</f>
        <v>7.4838607638086048</v>
      </c>
      <c r="O88" s="19"/>
      <c r="P88" s="229">
        <f t="shared" si="12"/>
        <v>6.269201789967866</v>
      </c>
      <c r="Q88" s="229">
        <f t="shared" si="16"/>
        <v>7.6825228823673335</v>
      </c>
      <c r="R88" s="144"/>
    </row>
    <row r="89" spans="2:18">
      <c r="B89" s="142">
        <f t="shared" si="13"/>
        <v>2028</v>
      </c>
      <c r="C89" s="19">
        <f t="shared" si="14"/>
        <v>12</v>
      </c>
      <c r="D89" s="143">
        <v>47088</v>
      </c>
      <c r="E89" s="19" t="str">
        <f t="shared" si="15"/>
        <v>12-2028</v>
      </c>
      <c r="F89" s="91">
        <f>'IEPR Gas Prices Real'!F91*(INDEX('GDP Deflator'!$D$6:$D$91,MATCH('IEPR Gas Prices Nominal'!$B89,'GDP Deflator'!$B$6:$B$91,0)))</f>
        <v>6.041172931291924</v>
      </c>
      <c r="G89" s="91">
        <f>'IEPR Gas Prices Real'!G91*(INDEX('GDP Deflator'!$D$6:$D$91,MATCH('IEPR Gas Prices Nominal'!$B89,'GDP Deflator'!$B$6:$B$91,0)))</f>
        <v>1.2357634876766872</v>
      </c>
      <c r="H89" s="91">
        <f>'IEPR Gas Prices Real'!H91*(INDEX('GDP Deflator'!$D$6:$D$91,MATCH('IEPR Gas Prices Nominal'!$B89,'GDP Deflator'!$B$6:$B$91,0)))</f>
        <v>7.2769364189686101</v>
      </c>
      <c r="I89" s="91">
        <f>'IEPR Gas Prices Real'!I91*(INDEX('GDP Deflator'!$D$6:$D$91,MATCH('IEPR Gas Prices Nominal'!$B89,'GDP Deflator'!$B$6:$B$91,0)))</f>
        <v>6.3447456662886861</v>
      </c>
      <c r="J89" s="91">
        <f>'IEPR Gas Prices Real'!J91*(INDEX('GDP Deflator'!$D$6:$D$91,MATCH('IEPR Gas Prices Nominal'!$B89,'GDP Deflator'!$B$6:$B$91,0)))</f>
        <v>2.0405443703414892</v>
      </c>
      <c r="K89" s="91">
        <f>'IEPR Gas Prices Real'!K91*(INDEX('GDP Deflator'!$D$6:$D$91,MATCH('IEPR Gas Prices Nominal'!$B89,'GDP Deflator'!$B$6:$B$91,0)))</f>
        <v>8.3852900366301757</v>
      </c>
      <c r="L89" s="91">
        <f>'IEPR Gas Prices Real'!L91*(INDEX('GDP Deflator'!$D$6:$D$91,MATCH('IEPR Gas Prices Nominal'!$B89,'GDP Deflator'!$B$6:$B$91,0)))</f>
        <v>6.5725362698322032</v>
      </c>
      <c r="M89" s="91">
        <f>'IEPR Gas Prices Real'!M91*(INDEX('GDP Deflator'!$D$6:$D$91,MATCH('IEPR Gas Prices Nominal'!$B89,'GDP Deflator'!$B$6:$B$91,0)))</f>
        <v>0.9636554191802289</v>
      </c>
      <c r="N89" s="91">
        <f>'IEPR Gas Prices Real'!N91*(INDEX('GDP Deflator'!$D$6:$D$91,MATCH('IEPR Gas Prices Nominal'!$B89,'GDP Deflator'!$B$6:$B$91,0)))</f>
        <v>7.5361916890124325</v>
      </c>
      <c r="O89" s="19"/>
      <c r="P89" s="229">
        <f t="shared" si="12"/>
        <v>6.3194849558042705</v>
      </c>
      <c r="Q89" s="229">
        <f t="shared" si="16"/>
        <v>7.7328060482037388</v>
      </c>
      <c r="R89" s="144"/>
    </row>
    <row r="90" spans="2:18">
      <c r="B90" s="142">
        <f t="shared" si="13"/>
        <v>2029</v>
      </c>
      <c r="C90" s="19">
        <f t="shared" si="14"/>
        <v>1</v>
      </c>
      <c r="D90" s="143">
        <v>47119</v>
      </c>
      <c r="E90" s="19" t="str">
        <f t="shared" si="15"/>
        <v>1-2029</v>
      </c>
      <c r="F90" s="91">
        <f>'IEPR Gas Prices Real'!F92*(INDEX('GDP Deflator'!$D$6:$D$91,MATCH('IEPR Gas Prices Nominal'!$B90,'GDP Deflator'!$B$6:$B$91,0)))</f>
        <v>6.16860932772423</v>
      </c>
      <c r="G90" s="91">
        <f>'IEPR Gas Prices Real'!G92*(INDEX('GDP Deflator'!$D$6:$D$91,MATCH('IEPR Gas Prices Nominal'!$B90,'GDP Deflator'!$B$6:$B$91,0)))</f>
        <v>1.3122506465879646</v>
      </c>
      <c r="H90" s="91">
        <f>'IEPR Gas Prices Real'!H92*(INDEX('GDP Deflator'!$D$6:$D$91,MATCH('IEPR Gas Prices Nominal'!$B90,'GDP Deflator'!$B$6:$B$91,0)))</f>
        <v>7.4808599743121942</v>
      </c>
      <c r="I90" s="91">
        <f>'IEPR Gas Prices Real'!I92*(INDEX('GDP Deflator'!$D$6:$D$91,MATCH('IEPR Gas Prices Nominal'!$B90,'GDP Deflator'!$B$6:$B$91,0)))</f>
        <v>6.4786150054361835</v>
      </c>
      <c r="J90" s="91">
        <f>'IEPR Gas Prices Real'!J92*(INDEX('GDP Deflator'!$D$6:$D$91,MATCH('IEPR Gas Prices Nominal'!$B90,'GDP Deflator'!$B$6:$B$91,0)))</f>
        <v>2.1668431670580461</v>
      </c>
      <c r="K90" s="91">
        <f>'IEPR Gas Prices Real'!K92*(INDEX('GDP Deflator'!$D$6:$D$91,MATCH('IEPR Gas Prices Nominal'!$B90,'GDP Deflator'!$B$6:$B$91,0)))</f>
        <v>8.6454581724942301</v>
      </c>
      <c r="L90" s="91">
        <f>'IEPR Gas Prices Real'!L92*(INDEX('GDP Deflator'!$D$6:$D$91,MATCH('IEPR Gas Prices Nominal'!$B90,'GDP Deflator'!$B$6:$B$91,0)))</f>
        <v>6.7112703487144421</v>
      </c>
      <c r="M90" s="91">
        <f>'IEPR Gas Prices Real'!M92*(INDEX('GDP Deflator'!$D$6:$D$91,MATCH('IEPR Gas Prices Nominal'!$B90,'GDP Deflator'!$B$6:$B$91,0)))</f>
        <v>1.0233005421488044</v>
      </c>
      <c r="N90" s="91">
        <f>'IEPR Gas Prices Real'!N92*(INDEX('GDP Deflator'!$D$6:$D$91,MATCH('IEPR Gas Prices Nominal'!$B90,'GDP Deflator'!$B$6:$B$91,0)))</f>
        <v>7.7345708908632469</v>
      </c>
      <c r="O90" s="19"/>
      <c r="P90" s="229">
        <f t="shared" si="12"/>
        <v>6.4528315606249516</v>
      </c>
      <c r="Q90" s="229">
        <f t="shared" si="16"/>
        <v>7.9536296792232237</v>
      </c>
      <c r="R90" s="144"/>
    </row>
    <row r="91" spans="2:18">
      <c r="B91" s="142">
        <f t="shared" si="13"/>
        <v>2029</v>
      </c>
      <c r="C91" s="19">
        <f t="shared" si="14"/>
        <v>2</v>
      </c>
      <c r="D91" s="143">
        <v>47150</v>
      </c>
      <c r="E91" s="19" t="str">
        <f t="shared" si="15"/>
        <v>2-2029</v>
      </c>
      <c r="F91" s="91">
        <f>'IEPR Gas Prices Real'!F93*(INDEX('GDP Deflator'!$D$6:$D$91,MATCH('IEPR Gas Prices Nominal'!$B91,'GDP Deflator'!$B$6:$B$91,0)))</f>
        <v>6.0332585646245258</v>
      </c>
      <c r="G91" s="91">
        <f>'IEPR Gas Prices Real'!G93*(INDEX('GDP Deflator'!$D$6:$D$91,MATCH('IEPR Gas Prices Nominal'!$B91,'GDP Deflator'!$B$6:$B$91,0)))</f>
        <v>1.3122506465879646</v>
      </c>
      <c r="H91" s="91">
        <f>'IEPR Gas Prices Real'!H93*(INDEX('GDP Deflator'!$D$6:$D$91,MATCH('IEPR Gas Prices Nominal'!$B91,'GDP Deflator'!$B$6:$B$91,0)))</f>
        <v>7.34550921121249</v>
      </c>
      <c r="I91" s="91">
        <f>'IEPR Gas Prices Real'!I93*(INDEX('GDP Deflator'!$D$6:$D$91,MATCH('IEPR Gas Prices Nominal'!$B91,'GDP Deflator'!$B$6:$B$91,0)))</f>
        <v>6.3364906878654121</v>
      </c>
      <c r="J91" s="91">
        <f>'IEPR Gas Prices Real'!J93*(INDEX('GDP Deflator'!$D$6:$D$91,MATCH('IEPR Gas Prices Nominal'!$B91,'GDP Deflator'!$B$6:$B$91,0)))</f>
        <v>2.1668431670580461</v>
      </c>
      <c r="K91" s="91">
        <f>'IEPR Gas Prices Real'!K93*(INDEX('GDP Deflator'!$D$6:$D$91,MATCH('IEPR Gas Prices Nominal'!$B91,'GDP Deflator'!$B$6:$B$91,0)))</f>
        <v>8.5033338549234596</v>
      </c>
      <c r="L91" s="91">
        <f>'IEPR Gas Prices Real'!L93*(INDEX('GDP Deflator'!$D$6:$D$91,MATCH('IEPR Gas Prices Nominal'!$B91,'GDP Deflator'!$B$6:$B$91,0)))</f>
        <v>6.5640994176427183</v>
      </c>
      <c r="M91" s="91">
        <f>'IEPR Gas Prices Real'!M93*(INDEX('GDP Deflator'!$D$6:$D$91,MATCH('IEPR Gas Prices Nominal'!$B91,'GDP Deflator'!$B$6:$B$91,0)))</f>
        <v>1.0233005421488044</v>
      </c>
      <c r="N91" s="91">
        <f>'IEPR Gas Prices Real'!N93*(INDEX('GDP Deflator'!$D$6:$D$91,MATCH('IEPR Gas Prices Nominal'!$B91,'GDP Deflator'!$B$6:$B$91,0)))</f>
        <v>7.5873999597915232</v>
      </c>
      <c r="O91" s="19"/>
      <c r="P91" s="229">
        <f t="shared" si="12"/>
        <v>6.3112828900442191</v>
      </c>
      <c r="Q91" s="229">
        <f t="shared" si="16"/>
        <v>7.8120810086424903</v>
      </c>
      <c r="R91" s="144"/>
    </row>
    <row r="92" spans="2:18">
      <c r="B92" s="142">
        <f t="shared" si="13"/>
        <v>2029</v>
      </c>
      <c r="C92" s="19">
        <f t="shared" si="14"/>
        <v>3</v>
      </c>
      <c r="D92" s="143">
        <v>47178</v>
      </c>
      <c r="E92" s="19" t="str">
        <f t="shared" si="15"/>
        <v>3-2029</v>
      </c>
      <c r="F92" s="91">
        <f>'IEPR Gas Prices Real'!F94*(INDEX('GDP Deflator'!$D$6:$D$91,MATCH('IEPR Gas Prices Nominal'!$B92,'GDP Deflator'!$B$6:$B$91,0)))</f>
        <v>5.5384518396903895</v>
      </c>
      <c r="G92" s="91">
        <f>'IEPR Gas Prices Real'!G94*(INDEX('GDP Deflator'!$D$6:$D$91,MATCH('IEPR Gas Prices Nominal'!$B92,'GDP Deflator'!$B$6:$B$91,0)))</f>
        <v>1.3122506465879646</v>
      </c>
      <c r="H92" s="91">
        <f>'IEPR Gas Prices Real'!H94*(INDEX('GDP Deflator'!$D$6:$D$91,MATCH('IEPR Gas Prices Nominal'!$B92,'GDP Deflator'!$B$6:$B$91,0)))</f>
        <v>6.8507024862783537</v>
      </c>
      <c r="I92" s="91">
        <f>'IEPR Gas Prices Real'!I94*(INDEX('GDP Deflator'!$D$6:$D$91,MATCH('IEPR Gas Prices Nominal'!$B92,'GDP Deflator'!$B$6:$B$91,0)))</f>
        <v>5.8168411406362504</v>
      </c>
      <c r="J92" s="91">
        <f>'IEPR Gas Prices Real'!J94*(INDEX('GDP Deflator'!$D$6:$D$91,MATCH('IEPR Gas Prices Nominal'!$B92,'GDP Deflator'!$B$6:$B$91,0)))</f>
        <v>2.1668431670580461</v>
      </c>
      <c r="K92" s="91">
        <f>'IEPR Gas Prices Real'!K94*(INDEX('GDP Deflator'!$D$6:$D$91,MATCH('IEPR Gas Prices Nominal'!$B92,'GDP Deflator'!$B$6:$B$91,0)))</f>
        <v>7.983684307694296</v>
      </c>
      <c r="L92" s="91">
        <f>'IEPR Gas Prices Real'!L94*(INDEX('GDP Deflator'!$D$6:$D$91,MATCH('IEPR Gas Prices Nominal'!$B92,'GDP Deflator'!$B$6:$B$91,0)))</f>
        <v>6.0258364588025435</v>
      </c>
      <c r="M92" s="91">
        <f>'IEPR Gas Prices Real'!M94*(INDEX('GDP Deflator'!$D$6:$D$91,MATCH('IEPR Gas Prices Nominal'!$B92,'GDP Deflator'!$B$6:$B$91,0)))</f>
        <v>1.0233005421488044</v>
      </c>
      <c r="N92" s="91">
        <f>'IEPR Gas Prices Real'!N94*(INDEX('GDP Deflator'!$D$6:$D$91,MATCH('IEPR Gas Prices Nominal'!$B92,'GDP Deflator'!$B$6:$B$91,0)))</f>
        <v>7.0491370009513474</v>
      </c>
      <c r="O92" s="19"/>
      <c r="P92" s="229">
        <f t="shared" si="12"/>
        <v>5.7937098130430611</v>
      </c>
      <c r="Q92" s="229">
        <f t="shared" si="16"/>
        <v>7.2945079316413315</v>
      </c>
      <c r="R92" s="144"/>
    </row>
    <row r="93" spans="2:18">
      <c r="B93" s="142">
        <f t="shared" si="13"/>
        <v>2029</v>
      </c>
      <c r="C93" s="19">
        <f t="shared" si="14"/>
        <v>4</v>
      </c>
      <c r="D93" s="143">
        <v>47209</v>
      </c>
      <c r="E93" s="19" t="str">
        <f t="shared" si="15"/>
        <v>4-2029</v>
      </c>
      <c r="F93" s="91">
        <f>'IEPR Gas Prices Real'!F95*(INDEX('GDP Deflator'!$D$6:$D$91,MATCH('IEPR Gas Prices Nominal'!$B93,'GDP Deflator'!$B$6:$B$91,0)))</f>
        <v>5.444118569119385</v>
      </c>
      <c r="G93" s="91">
        <f>'IEPR Gas Prices Real'!G95*(INDEX('GDP Deflator'!$D$6:$D$91,MATCH('IEPR Gas Prices Nominal'!$B93,'GDP Deflator'!$B$6:$B$91,0)))</f>
        <v>1.3122506465879646</v>
      </c>
      <c r="H93" s="91">
        <f>'IEPR Gas Prices Real'!H95*(INDEX('GDP Deflator'!$D$6:$D$91,MATCH('IEPR Gas Prices Nominal'!$B93,'GDP Deflator'!$B$6:$B$91,0)))</f>
        <v>6.7563692157073492</v>
      </c>
      <c r="I93" s="91">
        <f>'IEPR Gas Prices Real'!I95*(INDEX('GDP Deflator'!$D$6:$D$91,MATCH('IEPR Gas Prices Nominal'!$B93,'GDP Deflator'!$B$6:$B$91,0)))</f>
        <v>5.7177919901869636</v>
      </c>
      <c r="J93" s="91">
        <f>'IEPR Gas Prices Real'!J95*(INDEX('GDP Deflator'!$D$6:$D$91,MATCH('IEPR Gas Prices Nominal'!$B93,'GDP Deflator'!$B$6:$B$91,0)))</f>
        <v>2.1668431670580461</v>
      </c>
      <c r="K93" s="91">
        <f>'IEPR Gas Prices Real'!K95*(INDEX('GDP Deflator'!$D$6:$D$91,MATCH('IEPR Gas Prices Nominal'!$B93,'GDP Deflator'!$B$6:$B$91,0)))</f>
        <v>7.8846351572450102</v>
      </c>
      <c r="L93" s="91">
        <f>'IEPR Gas Prices Real'!L95*(INDEX('GDP Deflator'!$D$6:$D$91,MATCH('IEPR Gas Prices Nominal'!$B93,'GDP Deflator'!$B$6:$B$91,0)))</f>
        <v>5.9232802102421669</v>
      </c>
      <c r="M93" s="91">
        <f>'IEPR Gas Prices Real'!M95*(INDEX('GDP Deflator'!$D$6:$D$91,MATCH('IEPR Gas Prices Nominal'!$B93,'GDP Deflator'!$B$6:$B$91,0)))</f>
        <v>1.0233005421488044</v>
      </c>
      <c r="N93" s="91">
        <f>'IEPR Gas Prices Real'!N95*(INDEX('GDP Deflator'!$D$6:$D$91,MATCH('IEPR Gas Prices Nominal'!$B93,'GDP Deflator'!$B$6:$B$91,0)))</f>
        <v>6.9465807523909708</v>
      </c>
      <c r="O93" s="19"/>
      <c r="P93" s="229">
        <f t="shared" si="12"/>
        <v>5.6950635898495063</v>
      </c>
      <c r="Q93" s="229">
        <f t="shared" si="16"/>
        <v>7.1958617084477767</v>
      </c>
      <c r="R93" s="144"/>
    </row>
    <row r="94" spans="2:18">
      <c r="B94" s="142">
        <f t="shared" si="13"/>
        <v>2029</v>
      </c>
      <c r="C94" s="19">
        <f t="shared" si="14"/>
        <v>5</v>
      </c>
      <c r="D94" s="143">
        <v>47239</v>
      </c>
      <c r="E94" s="19" t="str">
        <f t="shared" si="15"/>
        <v>5-2029</v>
      </c>
      <c r="F94" s="91">
        <f>'IEPR Gas Prices Real'!F96*(INDEX('GDP Deflator'!$D$6:$D$91,MATCH('IEPR Gas Prices Nominal'!$B94,'GDP Deflator'!$B$6:$B$91,0)))</f>
        <v>5.6334926654993422</v>
      </c>
      <c r="G94" s="91">
        <f>'IEPR Gas Prices Real'!G96*(INDEX('GDP Deflator'!$D$6:$D$91,MATCH('IEPR Gas Prices Nominal'!$B94,'GDP Deflator'!$B$6:$B$91,0)))</f>
        <v>1.3122506465879646</v>
      </c>
      <c r="H94" s="91">
        <f>'IEPR Gas Prices Real'!H96*(INDEX('GDP Deflator'!$D$6:$D$91,MATCH('IEPR Gas Prices Nominal'!$B94,'GDP Deflator'!$B$6:$B$91,0)))</f>
        <v>6.9457433120873073</v>
      </c>
      <c r="I94" s="91">
        <f>'IEPR Gas Prices Real'!I96*(INDEX('GDP Deflator'!$D$6:$D$91,MATCH('IEPR Gas Prices Nominal'!$B94,'GDP Deflator'!$B$6:$B$91,0)))</f>
        <v>5.9167125028804213</v>
      </c>
      <c r="J94" s="91">
        <f>'IEPR Gas Prices Real'!J96*(INDEX('GDP Deflator'!$D$6:$D$91,MATCH('IEPR Gas Prices Nominal'!$B94,'GDP Deflator'!$B$6:$B$91,0)))</f>
        <v>2.1668431670580461</v>
      </c>
      <c r="K94" s="91">
        <f>'IEPR Gas Prices Real'!K96*(INDEX('GDP Deflator'!$D$6:$D$91,MATCH('IEPR Gas Prices Nominal'!$B94,'GDP Deflator'!$B$6:$B$91,0)))</f>
        <v>8.0835556699384679</v>
      </c>
      <c r="L94" s="91">
        <f>'IEPR Gas Prices Real'!L96*(INDEX('GDP Deflator'!$D$6:$D$91,MATCH('IEPR Gas Prices Nominal'!$B94,'GDP Deflator'!$B$6:$B$91,0)))</f>
        <v>6.1294030822077072</v>
      </c>
      <c r="M94" s="91">
        <f>'IEPR Gas Prices Real'!M96*(INDEX('GDP Deflator'!$D$6:$D$91,MATCH('IEPR Gas Prices Nominal'!$B94,'GDP Deflator'!$B$6:$B$91,0)))</f>
        <v>1.0233005421488044</v>
      </c>
      <c r="N94" s="91">
        <f>'IEPR Gas Prices Real'!N96*(INDEX('GDP Deflator'!$D$6:$D$91,MATCH('IEPR Gas Prices Nominal'!$B94,'GDP Deflator'!$B$6:$B$91,0)))</f>
        <v>7.1527036243565112</v>
      </c>
      <c r="O94" s="19"/>
      <c r="P94" s="229">
        <f t="shared" si="12"/>
        <v>5.8932027501958233</v>
      </c>
      <c r="Q94" s="229">
        <f t="shared" si="16"/>
        <v>7.3940008687940955</v>
      </c>
      <c r="R94" s="144"/>
    </row>
    <row r="95" spans="2:18">
      <c r="B95" s="142">
        <f t="shared" si="13"/>
        <v>2029</v>
      </c>
      <c r="C95" s="19">
        <f t="shared" si="14"/>
        <v>6</v>
      </c>
      <c r="D95" s="143">
        <v>47270</v>
      </c>
      <c r="E95" s="19" t="str">
        <f t="shared" si="15"/>
        <v>6-2029</v>
      </c>
      <c r="F95" s="91">
        <f>'IEPR Gas Prices Real'!F97*(INDEX('GDP Deflator'!$D$6:$D$91,MATCH('IEPR Gas Prices Nominal'!$B95,'GDP Deflator'!$B$6:$B$91,0)))</f>
        <v>5.7790310266049776</v>
      </c>
      <c r="G95" s="91">
        <f>'IEPR Gas Prices Real'!G97*(INDEX('GDP Deflator'!$D$6:$D$91,MATCH('IEPR Gas Prices Nominal'!$B95,'GDP Deflator'!$B$6:$B$91,0)))</f>
        <v>1.3122506465879646</v>
      </c>
      <c r="H95" s="91">
        <f>'IEPR Gas Prices Real'!H97*(INDEX('GDP Deflator'!$D$6:$D$91,MATCH('IEPR Gas Prices Nominal'!$B95,'GDP Deflator'!$B$6:$B$91,0)))</f>
        <v>7.0912816731929427</v>
      </c>
      <c r="I95" s="91">
        <f>'IEPR Gas Prices Real'!I97*(INDEX('GDP Deflator'!$D$6:$D$91,MATCH('IEPR Gas Prices Nominal'!$B95,'GDP Deflator'!$B$6:$B$91,0)))</f>
        <v>6.0695950583234675</v>
      </c>
      <c r="J95" s="91">
        <f>'IEPR Gas Prices Real'!J97*(INDEX('GDP Deflator'!$D$6:$D$91,MATCH('IEPR Gas Prices Nominal'!$B95,'GDP Deflator'!$B$6:$B$91,0)))</f>
        <v>2.1668431670580461</v>
      </c>
      <c r="K95" s="91">
        <f>'IEPR Gas Prices Real'!K97*(INDEX('GDP Deflator'!$D$6:$D$91,MATCH('IEPR Gas Prices Nominal'!$B95,'GDP Deflator'!$B$6:$B$91,0)))</f>
        <v>8.236438225381514</v>
      </c>
      <c r="L95" s="91">
        <f>'IEPR Gas Prices Real'!L97*(INDEX('GDP Deflator'!$D$6:$D$91,MATCH('IEPR Gas Prices Nominal'!$B95,'GDP Deflator'!$B$6:$B$91,0)))</f>
        <v>6.2878362365662088</v>
      </c>
      <c r="M95" s="91">
        <f>'IEPR Gas Prices Real'!M97*(INDEX('GDP Deflator'!$D$6:$D$91,MATCH('IEPR Gas Prices Nominal'!$B95,'GDP Deflator'!$B$6:$B$91,0)))</f>
        <v>1.0233005421488044</v>
      </c>
      <c r="N95" s="91">
        <f>'IEPR Gas Prices Real'!N97*(INDEX('GDP Deflator'!$D$6:$D$91,MATCH('IEPR Gas Prices Nominal'!$B95,'GDP Deflator'!$B$6:$B$91,0)))</f>
        <v>7.3111367787150137</v>
      </c>
      <c r="O95" s="19"/>
      <c r="P95" s="229">
        <f t="shared" si="12"/>
        <v>6.045487440498218</v>
      </c>
      <c r="Q95" s="229">
        <f t="shared" si="16"/>
        <v>7.5462855590964901</v>
      </c>
      <c r="R95" s="144"/>
    </row>
    <row r="96" spans="2:18">
      <c r="B96" s="142">
        <f t="shared" si="13"/>
        <v>2029</v>
      </c>
      <c r="C96" s="19">
        <f t="shared" si="14"/>
        <v>7</v>
      </c>
      <c r="D96" s="143">
        <v>47300</v>
      </c>
      <c r="E96" s="19" t="str">
        <f t="shared" si="15"/>
        <v>7-2029</v>
      </c>
      <c r="F96" s="91">
        <f>'IEPR Gas Prices Real'!F98*(INDEX('GDP Deflator'!$D$6:$D$91,MATCH('IEPR Gas Prices Nominal'!$B96,'GDP Deflator'!$B$6:$B$91,0)))</f>
        <v>5.8247790527810821</v>
      </c>
      <c r="G96" s="91">
        <f>'IEPR Gas Prices Real'!G98*(INDEX('GDP Deflator'!$D$6:$D$91,MATCH('IEPR Gas Prices Nominal'!$B96,'GDP Deflator'!$B$6:$B$91,0)))</f>
        <v>1.3122506465879646</v>
      </c>
      <c r="H96" s="91">
        <f>'IEPR Gas Prices Real'!H98*(INDEX('GDP Deflator'!$D$6:$D$91,MATCH('IEPR Gas Prices Nominal'!$B96,'GDP Deflator'!$B$6:$B$91,0)))</f>
        <v>7.1370296993690472</v>
      </c>
      <c r="I96" s="91">
        <f>'IEPR Gas Prices Real'!I98*(INDEX('GDP Deflator'!$D$6:$D$91,MATCH('IEPR Gas Prices Nominal'!$B96,'GDP Deflator'!$B$6:$B$91,0)))</f>
        <v>6.1176708270863998</v>
      </c>
      <c r="J96" s="91">
        <f>'IEPR Gas Prices Real'!J98*(INDEX('GDP Deflator'!$D$6:$D$91,MATCH('IEPR Gas Prices Nominal'!$B96,'GDP Deflator'!$B$6:$B$91,0)))</f>
        <v>2.1668431670580461</v>
      </c>
      <c r="K96" s="91">
        <f>'IEPR Gas Prices Real'!K98*(INDEX('GDP Deflator'!$D$6:$D$91,MATCH('IEPR Gas Prices Nominal'!$B96,'GDP Deflator'!$B$6:$B$91,0)))</f>
        <v>8.2845139941444454</v>
      </c>
      <c r="L96" s="91">
        <f>'IEPR Gas Prices Real'!L98*(INDEX('GDP Deflator'!$D$6:$D$91,MATCH('IEPR Gas Prices Nominal'!$B96,'GDP Deflator'!$B$6:$B$91,0)))</f>
        <v>6.3376959452865655</v>
      </c>
      <c r="M96" s="91">
        <f>'IEPR Gas Prices Real'!M98*(INDEX('GDP Deflator'!$D$6:$D$91,MATCH('IEPR Gas Prices Nominal'!$B96,'GDP Deflator'!$B$6:$B$91,0)))</f>
        <v>1.0233005421488044</v>
      </c>
      <c r="N96" s="91">
        <f>'IEPR Gas Prices Real'!N98*(INDEX('GDP Deflator'!$D$6:$D$91,MATCH('IEPR Gas Prices Nominal'!$B96,'GDP Deflator'!$B$6:$B$91,0)))</f>
        <v>7.3609964874353695</v>
      </c>
      <c r="O96" s="19"/>
      <c r="P96" s="229">
        <f t="shared" si="12"/>
        <v>6.0933819417180155</v>
      </c>
      <c r="Q96" s="229">
        <f t="shared" si="16"/>
        <v>7.5941800603162868</v>
      </c>
      <c r="R96" s="144"/>
    </row>
    <row r="97" spans="2:18">
      <c r="B97" s="142">
        <f t="shared" si="13"/>
        <v>2029</v>
      </c>
      <c r="C97" s="19">
        <f t="shared" si="14"/>
        <v>8</v>
      </c>
      <c r="D97" s="143">
        <v>47331</v>
      </c>
      <c r="E97" s="19" t="str">
        <f t="shared" si="15"/>
        <v>8-2029</v>
      </c>
      <c r="F97" s="91">
        <f>'IEPR Gas Prices Real'!F99*(INDEX('GDP Deflator'!$D$6:$D$91,MATCH('IEPR Gas Prices Nominal'!$B97,'GDP Deflator'!$B$6:$B$91,0)))</f>
        <v>5.7796892462420075</v>
      </c>
      <c r="G97" s="91">
        <f>'IEPR Gas Prices Real'!G99*(INDEX('GDP Deflator'!$D$6:$D$91,MATCH('IEPR Gas Prices Nominal'!$B97,'GDP Deflator'!$B$6:$B$91,0)))</f>
        <v>1.3122506465879646</v>
      </c>
      <c r="H97" s="91">
        <f>'IEPR Gas Prices Real'!H99*(INDEX('GDP Deflator'!$D$6:$D$91,MATCH('IEPR Gas Prices Nominal'!$B97,'GDP Deflator'!$B$6:$B$91,0)))</f>
        <v>7.0919398928299726</v>
      </c>
      <c r="I97" s="91">
        <f>'IEPR Gas Prices Real'!I99*(INDEX('GDP Deflator'!$D$6:$D$91,MATCH('IEPR Gas Prices Nominal'!$B97,'GDP Deflator'!$B$6:$B$91,0)))</f>
        <v>6.0703411019683715</v>
      </c>
      <c r="J97" s="91">
        <f>'IEPR Gas Prices Real'!J99*(INDEX('GDP Deflator'!$D$6:$D$91,MATCH('IEPR Gas Prices Nominal'!$B97,'GDP Deflator'!$B$6:$B$91,0)))</f>
        <v>2.1668431670580461</v>
      </c>
      <c r="K97" s="91">
        <f>'IEPR Gas Prices Real'!K99*(INDEX('GDP Deflator'!$D$6:$D$91,MATCH('IEPR Gas Prices Nominal'!$B97,'GDP Deflator'!$B$6:$B$91,0)))</f>
        <v>8.2371842690264181</v>
      </c>
      <c r="L97" s="91">
        <f>'IEPR Gas Prices Real'!L99*(INDEX('GDP Deflator'!$D$6:$D$91,MATCH('IEPR Gas Prices Nominal'!$B97,'GDP Deflator'!$B$6:$B$91,0)))</f>
        <v>6.2887188661096332</v>
      </c>
      <c r="M97" s="91">
        <f>'IEPR Gas Prices Real'!M99*(INDEX('GDP Deflator'!$D$6:$D$91,MATCH('IEPR Gas Prices Nominal'!$B97,'GDP Deflator'!$B$6:$B$91,0)))</f>
        <v>1.0233005421488044</v>
      </c>
      <c r="N97" s="91">
        <f>'IEPR Gas Prices Real'!N99*(INDEX('GDP Deflator'!$D$6:$D$91,MATCH('IEPR Gas Prices Nominal'!$B97,'GDP Deflator'!$B$6:$B$91,0)))</f>
        <v>7.3120194082584371</v>
      </c>
      <c r="O97" s="19"/>
      <c r="P97" s="229">
        <f t="shared" si="12"/>
        <v>6.0462497381066704</v>
      </c>
      <c r="Q97" s="229">
        <f t="shared" si="16"/>
        <v>7.5470478567049426</v>
      </c>
      <c r="R97" s="144"/>
    </row>
    <row r="98" spans="2:18">
      <c r="B98" s="142">
        <f t="shared" si="13"/>
        <v>2029</v>
      </c>
      <c r="C98" s="19">
        <f t="shared" si="14"/>
        <v>9</v>
      </c>
      <c r="D98" s="143">
        <v>47362</v>
      </c>
      <c r="E98" s="19" t="str">
        <f t="shared" si="15"/>
        <v>9-2029</v>
      </c>
      <c r="F98" s="91">
        <f>'IEPR Gas Prices Real'!F100*(INDEX('GDP Deflator'!$D$6:$D$91,MATCH('IEPR Gas Prices Nominal'!$B98,'GDP Deflator'!$B$6:$B$91,0)))</f>
        <v>5.8608855711650616</v>
      </c>
      <c r="G98" s="91">
        <f>'IEPR Gas Prices Real'!G100*(INDEX('GDP Deflator'!$D$6:$D$91,MATCH('IEPR Gas Prices Nominal'!$B98,'GDP Deflator'!$B$6:$B$91,0)))</f>
        <v>1.3122506465879646</v>
      </c>
      <c r="H98" s="91">
        <f>'IEPR Gas Prices Real'!H100*(INDEX('GDP Deflator'!$D$6:$D$91,MATCH('IEPR Gas Prices Nominal'!$B98,'GDP Deflator'!$B$6:$B$91,0)))</f>
        <v>7.1731362177530267</v>
      </c>
      <c r="I98" s="91">
        <f>'IEPR Gas Prices Real'!I100*(INDEX('GDP Deflator'!$D$6:$D$91,MATCH('IEPR Gas Prices Nominal'!$B98,'GDP Deflator'!$B$6:$B$91,0)))</f>
        <v>6.1556484216379719</v>
      </c>
      <c r="J98" s="91">
        <f>'IEPR Gas Prices Real'!J100*(INDEX('GDP Deflator'!$D$6:$D$91,MATCH('IEPR Gas Prices Nominal'!$B98,'GDP Deflator'!$B$6:$B$91,0)))</f>
        <v>2.1668431670580461</v>
      </c>
      <c r="K98" s="91">
        <f>'IEPR Gas Prices Real'!K100*(INDEX('GDP Deflator'!$D$6:$D$91,MATCH('IEPR Gas Prices Nominal'!$B98,'GDP Deflator'!$B$6:$B$91,0)))</f>
        <v>8.3224915886960193</v>
      </c>
      <c r="L98" s="91">
        <f>'IEPR Gas Prices Real'!L100*(INDEX('GDP Deflator'!$D$6:$D$91,MATCH('IEPR Gas Prices Nominal'!$B98,'GDP Deflator'!$B$6:$B$91,0)))</f>
        <v>6.3771507385824284</v>
      </c>
      <c r="M98" s="91">
        <f>'IEPR Gas Prices Real'!M100*(INDEX('GDP Deflator'!$D$6:$D$91,MATCH('IEPR Gas Prices Nominal'!$B98,'GDP Deflator'!$B$6:$B$91,0)))</f>
        <v>1.0233005421488044</v>
      </c>
      <c r="N98" s="91">
        <f>'IEPR Gas Prices Real'!N100*(INDEX('GDP Deflator'!$D$6:$D$91,MATCH('IEPR Gas Prices Nominal'!$B98,'GDP Deflator'!$B$6:$B$91,0)))</f>
        <v>7.4004512807312333</v>
      </c>
      <c r="O98" s="19"/>
      <c r="P98" s="229">
        <f t="shared" si="12"/>
        <v>6.131228243795154</v>
      </c>
      <c r="Q98" s="229">
        <f t="shared" si="16"/>
        <v>7.6320263623934261</v>
      </c>
      <c r="R98" s="144"/>
    </row>
    <row r="99" spans="2:18">
      <c r="B99" s="142">
        <f t="shared" si="13"/>
        <v>2029</v>
      </c>
      <c r="C99" s="19">
        <f t="shared" si="14"/>
        <v>10</v>
      </c>
      <c r="D99" s="143">
        <v>47392</v>
      </c>
      <c r="E99" s="19" t="str">
        <f t="shared" si="15"/>
        <v>10-2029</v>
      </c>
      <c r="F99" s="91">
        <f>'IEPR Gas Prices Real'!F101*(INDEX('GDP Deflator'!$D$6:$D$91,MATCH('IEPR Gas Prices Nominal'!$B99,'GDP Deflator'!$B$6:$B$91,0)))</f>
        <v>5.8270126937872675</v>
      </c>
      <c r="G99" s="91">
        <f>'IEPR Gas Prices Real'!G101*(INDEX('GDP Deflator'!$D$6:$D$91,MATCH('IEPR Gas Prices Nominal'!$B99,'GDP Deflator'!$B$6:$B$91,0)))</f>
        <v>1.3122506465879646</v>
      </c>
      <c r="H99" s="91">
        <f>'IEPR Gas Prices Real'!H101*(INDEX('GDP Deflator'!$D$6:$D$91,MATCH('IEPR Gas Prices Nominal'!$B99,'GDP Deflator'!$B$6:$B$91,0)))</f>
        <v>7.1392633403752326</v>
      </c>
      <c r="I99" s="91">
        <f>'IEPR Gas Prices Real'!I101*(INDEX('GDP Deflator'!$D$6:$D$91,MATCH('IEPR Gas Prices Nominal'!$B99,'GDP Deflator'!$B$6:$B$91,0)))</f>
        <v>6.120099564803172</v>
      </c>
      <c r="J99" s="91">
        <f>'IEPR Gas Prices Real'!J101*(INDEX('GDP Deflator'!$D$6:$D$91,MATCH('IEPR Gas Prices Nominal'!$B99,'GDP Deflator'!$B$6:$B$91,0)))</f>
        <v>2.1668431670580461</v>
      </c>
      <c r="K99" s="91">
        <f>'IEPR Gas Prices Real'!K101*(INDEX('GDP Deflator'!$D$6:$D$91,MATCH('IEPR Gas Prices Nominal'!$B99,'GDP Deflator'!$B$6:$B$91,0)))</f>
        <v>8.2869427318612185</v>
      </c>
      <c r="L99" s="91">
        <f>'IEPR Gas Prices Real'!L101*(INDEX('GDP Deflator'!$D$6:$D$91,MATCH('IEPR Gas Prices Nominal'!$B99,'GDP Deflator'!$B$6:$B$91,0)))</f>
        <v>6.3403780516279467</v>
      </c>
      <c r="M99" s="91">
        <f>'IEPR Gas Prices Real'!M101*(INDEX('GDP Deflator'!$D$6:$D$91,MATCH('IEPR Gas Prices Nominal'!$B99,'GDP Deflator'!$B$6:$B$91,0)))</f>
        <v>1.0233005421488044</v>
      </c>
      <c r="N99" s="91">
        <f>'IEPR Gas Prices Real'!N101*(INDEX('GDP Deflator'!$D$6:$D$91,MATCH('IEPR Gas Prices Nominal'!$B99,'GDP Deflator'!$B$6:$B$91,0)))</f>
        <v>7.3636785937767515</v>
      </c>
      <c r="O99" s="19"/>
      <c r="P99" s="229">
        <f t="shared" si="12"/>
        <v>6.0958301034061293</v>
      </c>
      <c r="Q99" s="229">
        <f t="shared" si="16"/>
        <v>7.5966282220044006</v>
      </c>
      <c r="R99" s="144"/>
    </row>
    <row r="100" spans="2:18">
      <c r="B100" s="142">
        <f t="shared" si="13"/>
        <v>2029</v>
      </c>
      <c r="C100" s="19">
        <f t="shared" si="14"/>
        <v>11</v>
      </c>
      <c r="D100" s="143">
        <v>47423</v>
      </c>
      <c r="E100" s="19" t="str">
        <f t="shared" si="15"/>
        <v>11-2029</v>
      </c>
      <c r="F100" s="91">
        <f>'IEPR Gas Prices Real'!F102*(INDEX('GDP Deflator'!$D$6:$D$91,MATCH('IEPR Gas Prices Nominal'!$B100,'GDP Deflator'!$B$6:$B$91,0)))</f>
        <v>6.1149191273705421</v>
      </c>
      <c r="G100" s="91">
        <f>'IEPR Gas Prices Real'!G102*(INDEX('GDP Deflator'!$D$6:$D$91,MATCH('IEPR Gas Prices Nominal'!$B100,'GDP Deflator'!$B$6:$B$91,0)))</f>
        <v>1.3122506465879646</v>
      </c>
      <c r="H100" s="91">
        <f>'IEPR Gas Prices Real'!H102*(INDEX('GDP Deflator'!$D$6:$D$91,MATCH('IEPR Gas Prices Nominal'!$B100,'GDP Deflator'!$B$6:$B$91,0)))</f>
        <v>7.4271697739585072</v>
      </c>
      <c r="I100" s="91">
        <f>'IEPR Gas Prices Real'!I102*(INDEX('GDP Deflator'!$D$6:$D$91,MATCH('IEPR Gas Prices Nominal'!$B100,'GDP Deflator'!$B$6:$B$91,0)))</f>
        <v>6.4225160694442058</v>
      </c>
      <c r="J100" s="91">
        <f>'IEPR Gas Prices Real'!J102*(INDEX('GDP Deflator'!$D$6:$D$91,MATCH('IEPR Gas Prices Nominal'!$B100,'GDP Deflator'!$B$6:$B$91,0)))</f>
        <v>2.1668431670580461</v>
      </c>
      <c r="K100" s="91">
        <f>'IEPR Gas Prices Real'!K102*(INDEX('GDP Deflator'!$D$6:$D$91,MATCH('IEPR Gas Prices Nominal'!$B100,'GDP Deflator'!$B$6:$B$91,0)))</f>
        <v>8.5893592365022524</v>
      </c>
      <c r="L100" s="91">
        <f>'IEPR Gas Prices Real'!L102*(INDEX('GDP Deflator'!$D$6:$D$91,MATCH('IEPR Gas Prices Nominal'!$B100,'GDP Deflator'!$B$6:$B$91,0)))</f>
        <v>6.6537374084334546</v>
      </c>
      <c r="M100" s="91">
        <f>'IEPR Gas Prices Real'!M102*(INDEX('GDP Deflator'!$D$6:$D$91,MATCH('IEPR Gas Prices Nominal'!$B100,'GDP Deflator'!$B$6:$B$91,0)))</f>
        <v>1.0233005421488044</v>
      </c>
      <c r="N100" s="91">
        <f>'IEPR Gas Prices Real'!N102*(INDEX('GDP Deflator'!$D$6:$D$91,MATCH('IEPR Gas Prices Nominal'!$B100,'GDP Deflator'!$B$6:$B$91,0)))</f>
        <v>7.6770379505822586</v>
      </c>
      <c r="O100" s="19"/>
      <c r="P100" s="229">
        <f t="shared" si="12"/>
        <v>6.3970575350827339</v>
      </c>
      <c r="Q100" s="229">
        <f t="shared" si="16"/>
        <v>7.8978556536810061</v>
      </c>
      <c r="R100" s="144"/>
    </row>
    <row r="101" spans="2:18">
      <c r="B101" s="142">
        <f t="shared" si="13"/>
        <v>2029</v>
      </c>
      <c r="C101" s="19">
        <f t="shared" si="14"/>
        <v>12</v>
      </c>
      <c r="D101" s="143">
        <v>47453</v>
      </c>
      <c r="E101" s="19" t="str">
        <f t="shared" si="15"/>
        <v>12-2029</v>
      </c>
      <c r="F101" s="91">
        <f>'IEPR Gas Prices Real'!F103*(INDEX('GDP Deflator'!$D$6:$D$91,MATCH('IEPR Gas Prices Nominal'!$B101,'GDP Deflator'!$B$6:$B$91,0)))</f>
        <v>6.1639990599808732</v>
      </c>
      <c r="G101" s="91">
        <f>'IEPR Gas Prices Real'!G103*(INDEX('GDP Deflator'!$D$6:$D$91,MATCH('IEPR Gas Prices Nominal'!$B101,'GDP Deflator'!$B$6:$B$91,0)))</f>
        <v>1.3122506465879646</v>
      </c>
      <c r="H101" s="91">
        <f>'IEPR Gas Prices Real'!H103*(INDEX('GDP Deflator'!$D$6:$D$91,MATCH('IEPR Gas Prices Nominal'!$B101,'GDP Deflator'!$B$6:$B$91,0)))</f>
        <v>7.4762497065688382</v>
      </c>
      <c r="I101" s="91">
        <f>'IEPR Gas Prices Real'!I103*(INDEX('GDP Deflator'!$D$6:$D$91,MATCH('IEPR Gas Prices Nominal'!$B101,'GDP Deflator'!$B$6:$B$91,0)))</f>
        <v>6.474094054895982</v>
      </c>
      <c r="J101" s="91">
        <f>'IEPR Gas Prices Real'!J103*(INDEX('GDP Deflator'!$D$6:$D$91,MATCH('IEPR Gas Prices Nominal'!$B101,'GDP Deflator'!$B$6:$B$91,0)))</f>
        <v>2.1668431670580461</v>
      </c>
      <c r="K101" s="91">
        <f>'IEPR Gas Prices Real'!K103*(INDEX('GDP Deflator'!$D$6:$D$91,MATCH('IEPR Gas Prices Nominal'!$B101,'GDP Deflator'!$B$6:$B$91,0)))</f>
        <v>8.6409372219540295</v>
      </c>
      <c r="L101" s="91">
        <f>'IEPR Gas Prices Real'!L103*(INDEX('GDP Deflator'!$D$6:$D$91,MATCH('IEPR Gas Prices Nominal'!$B101,'GDP Deflator'!$B$6:$B$91,0)))</f>
        <v>6.7072308470562243</v>
      </c>
      <c r="M101" s="91">
        <f>'IEPR Gas Prices Real'!M103*(INDEX('GDP Deflator'!$D$6:$D$91,MATCH('IEPR Gas Prices Nominal'!$B101,'GDP Deflator'!$B$6:$B$91,0)))</f>
        <v>1.0233005421488044</v>
      </c>
      <c r="N101" s="91">
        <f>'IEPR Gas Prices Real'!N103*(INDEX('GDP Deflator'!$D$6:$D$91,MATCH('IEPR Gas Prices Nominal'!$B101,'GDP Deflator'!$B$6:$B$91,0)))</f>
        <v>7.7305313892050291</v>
      </c>
      <c r="O101" s="19"/>
      <c r="P101" s="229">
        <f t="shared" si="12"/>
        <v>6.4484413206443598</v>
      </c>
      <c r="Q101" s="229">
        <f t="shared" si="16"/>
        <v>7.9492394392426329</v>
      </c>
      <c r="R101" s="144"/>
    </row>
    <row r="102" spans="2:18">
      <c r="B102" s="142">
        <f t="shared" si="13"/>
        <v>2030</v>
      </c>
      <c r="C102" s="19">
        <f t="shared" si="14"/>
        <v>1</v>
      </c>
      <c r="D102" s="143">
        <v>47484</v>
      </c>
      <c r="E102" s="19" t="str">
        <f t="shared" si="15"/>
        <v>1-2030</v>
      </c>
      <c r="F102" s="91">
        <f>'IEPR Gas Prices Real'!F104*(INDEX('GDP Deflator'!$D$6:$D$91,MATCH('IEPR Gas Prices Nominal'!$B102,'GDP Deflator'!$B$6:$B$91,0)))</f>
        <v>6.2937581102757649</v>
      </c>
      <c r="G102" s="91">
        <f>'IEPR Gas Prices Real'!G104*(INDEX('GDP Deflator'!$D$6:$D$91,MATCH('IEPR Gas Prices Nominal'!$B102,'GDP Deflator'!$B$6:$B$91,0)))</f>
        <v>1.3934150810622876</v>
      </c>
      <c r="H102" s="91">
        <f>'IEPR Gas Prices Real'!H104*(INDEX('GDP Deflator'!$D$6:$D$91,MATCH('IEPR Gas Prices Nominal'!$B102,'GDP Deflator'!$B$6:$B$91,0)))</f>
        <v>7.6871731913380525</v>
      </c>
      <c r="I102" s="91">
        <f>'IEPR Gas Prices Real'!I104*(INDEX('GDP Deflator'!$D$6:$D$91,MATCH('IEPR Gas Prices Nominal'!$B102,'GDP Deflator'!$B$6:$B$91,0)))</f>
        <v>6.6103196286169341</v>
      </c>
      <c r="J102" s="91">
        <f>'IEPR Gas Prices Real'!J104*(INDEX('GDP Deflator'!$D$6:$D$91,MATCH('IEPR Gas Prices Nominal'!$B102,'GDP Deflator'!$B$6:$B$91,0)))</f>
        <v>2.3008652768631399</v>
      </c>
      <c r="K102" s="91">
        <f>'IEPR Gas Prices Real'!K104*(INDEX('GDP Deflator'!$D$6:$D$91,MATCH('IEPR Gas Prices Nominal'!$B102,'GDP Deflator'!$B$6:$B$91,0)))</f>
        <v>8.9111849054800736</v>
      </c>
      <c r="L102" s="91">
        <f>'IEPR Gas Prices Real'!L104*(INDEX('GDP Deflator'!$D$6:$D$91,MATCH('IEPR Gas Prices Nominal'!$B102,'GDP Deflator'!$B$6:$B$91,0)))</f>
        <v>6.8484227137240383</v>
      </c>
      <c r="M102" s="91">
        <f>'IEPR Gas Prices Real'!M104*(INDEX('GDP Deflator'!$D$6:$D$91,MATCH('IEPR Gas Prices Nominal'!$B102,'GDP Deflator'!$B$6:$B$91,0)))</f>
        <v>1.0865930312908232</v>
      </c>
      <c r="N102" s="91">
        <f>'IEPR Gas Prices Real'!N104*(INDEX('GDP Deflator'!$D$6:$D$91,MATCH('IEPR Gas Prices Nominal'!$B102,'GDP Deflator'!$B$6:$B$91,0)))</f>
        <v>7.9350157450148613</v>
      </c>
      <c r="O102" s="19"/>
      <c r="P102" s="229">
        <f t="shared" si="12"/>
        <v>6.5841668175389119</v>
      </c>
      <c r="Q102" s="229">
        <f t="shared" si="16"/>
        <v>8.1777912806109949</v>
      </c>
      <c r="R102" s="144"/>
    </row>
    <row r="103" spans="2:18">
      <c r="B103" s="142">
        <f t="shared" si="13"/>
        <v>2030</v>
      </c>
      <c r="C103" s="19">
        <f t="shared" si="14"/>
        <v>2</v>
      </c>
      <c r="D103" s="143">
        <v>47515</v>
      </c>
      <c r="E103" s="19" t="str">
        <f t="shared" si="15"/>
        <v>2-2030</v>
      </c>
      <c r="F103" s="91">
        <f>'IEPR Gas Prices Real'!F105*(INDEX('GDP Deflator'!$D$6:$D$91,MATCH('IEPR Gas Prices Nominal'!$B103,'GDP Deflator'!$B$6:$B$91,0)))</f>
        <v>6.1556501548783915</v>
      </c>
      <c r="G103" s="91">
        <f>'IEPR Gas Prices Real'!G105*(INDEX('GDP Deflator'!$D$6:$D$91,MATCH('IEPR Gas Prices Nominal'!$B103,'GDP Deflator'!$B$6:$B$91,0)))</f>
        <v>1.3934150810622876</v>
      </c>
      <c r="H103" s="91">
        <f>'IEPR Gas Prices Real'!H105*(INDEX('GDP Deflator'!$D$6:$D$91,MATCH('IEPR Gas Prices Nominal'!$B103,'GDP Deflator'!$B$6:$B$91,0)))</f>
        <v>7.5490652359406791</v>
      </c>
      <c r="I103" s="91">
        <f>'IEPR Gas Prices Real'!I105*(INDEX('GDP Deflator'!$D$6:$D$91,MATCH('IEPR Gas Prices Nominal'!$B103,'GDP Deflator'!$B$6:$B$91,0)))</f>
        <v>6.4652051780793105</v>
      </c>
      <c r="J103" s="91">
        <f>'IEPR Gas Prices Real'!J105*(INDEX('GDP Deflator'!$D$6:$D$91,MATCH('IEPR Gas Prices Nominal'!$B103,'GDP Deflator'!$B$6:$B$91,0)))</f>
        <v>2.3008652768631399</v>
      </c>
      <c r="K103" s="91">
        <f>'IEPR Gas Prices Real'!K105*(INDEX('GDP Deflator'!$D$6:$D$91,MATCH('IEPR Gas Prices Nominal'!$B103,'GDP Deflator'!$B$6:$B$91,0)))</f>
        <v>8.7660704549424509</v>
      </c>
      <c r="L103" s="91">
        <f>'IEPR Gas Prices Real'!L105*(INDEX('GDP Deflator'!$D$6:$D$91,MATCH('IEPR Gas Prices Nominal'!$B103,'GDP Deflator'!$B$6:$B$91,0)))</f>
        <v>6.6981406418524463</v>
      </c>
      <c r="M103" s="91">
        <f>'IEPR Gas Prices Real'!M105*(INDEX('GDP Deflator'!$D$6:$D$91,MATCH('IEPR Gas Prices Nominal'!$B103,'GDP Deflator'!$B$6:$B$91,0)))</f>
        <v>1.0865930312908232</v>
      </c>
      <c r="N103" s="91">
        <f>'IEPR Gas Prices Real'!N105*(INDEX('GDP Deflator'!$D$6:$D$91,MATCH('IEPR Gas Prices Nominal'!$B103,'GDP Deflator'!$B$6:$B$91,0)))</f>
        <v>7.7847336731432684</v>
      </c>
      <c r="O103" s="19"/>
      <c r="P103" s="229">
        <f t="shared" si="12"/>
        <v>6.4396653249367164</v>
      </c>
      <c r="Q103" s="229">
        <f t="shared" si="16"/>
        <v>8.0332897880087994</v>
      </c>
      <c r="R103" s="144"/>
    </row>
    <row r="104" spans="2:18">
      <c r="B104" s="142">
        <f t="shared" si="13"/>
        <v>2030</v>
      </c>
      <c r="C104" s="19">
        <f t="shared" si="14"/>
        <v>3</v>
      </c>
      <c r="D104" s="143">
        <v>47543</v>
      </c>
      <c r="E104" s="19" t="str">
        <f t="shared" si="15"/>
        <v>3-2030</v>
      </c>
      <c r="F104" s="91">
        <f>'IEPR Gas Prices Real'!F106*(INDEX('GDP Deflator'!$D$6:$D$91,MATCH('IEPR Gas Prices Nominal'!$B104,'GDP Deflator'!$B$6:$B$91,0)))</f>
        <v>5.6507954280658925</v>
      </c>
      <c r="G104" s="91">
        <f>'IEPR Gas Prices Real'!G106*(INDEX('GDP Deflator'!$D$6:$D$91,MATCH('IEPR Gas Prices Nominal'!$B104,'GDP Deflator'!$B$6:$B$91,0)))</f>
        <v>1.3934150810622876</v>
      </c>
      <c r="H104" s="91">
        <f>'IEPR Gas Prices Real'!H106*(INDEX('GDP Deflator'!$D$6:$D$91,MATCH('IEPR Gas Prices Nominal'!$B104,'GDP Deflator'!$B$6:$B$91,0)))</f>
        <v>7.044210509128181</v>
      </c>
      <c r="I104" s="91">
        <f>'IEPR Gas Prices Real'!I106*(INDEX('GDP Deflator'!$D$6:$D$91,MATCH('IEPR Gas Prices Nominal'!$B104,'GDP Deflator'!$B$6:$B$91,0)))</f>
        <v>5.9349072717034073</v>
      </c>
      <c r="J104" s="91">
        <f>'IEPR Gas Prices Real'!J106*(INDEX('GDP Deflator'!$D$6:$D$91,MATCH('IEPR Gas Prices Nominal'!$B104,'GDP Deflator'!$B$6:$B$91,0)))</f>
        <v>2.3008652768631399</v>
      </c>
      <c r="K104" s="91">
        <f>'IEPR Gas Prices Real'!K106*(INDEX('GDP Deflator'!$D$6:$D$91,MATCH('IEPR Gas Prices Nominal'!$B104,'GDP Deflator'!$B$6:$B$91,0)))</f>
        <v>8.2357725485665476</v>
      </c>
      <c r="L104" s="91">
        <f>'IEPR Gas Prices Real'!L106*(INDEX('GDP Deflator'!$D$6:$D$91,MATCH('IEPR Gas Prices Nominal'!$B104,'GDP Deflator'!$B$6:$B$91,0)))</f>
        <v>6.1487911079720856</v>
      </c>
      <c r="M104" s="91">
        <f>'IEPR Gas Prices Real'!M106*(INDEX('GDP Deflator'!$D$6:$D$91,MATCH('IEPR Gas Prices Nominal'!$B104,'GDP Deflator'!$B$6:$B$91,0)))</f>
        <v>1.0865930312908232</v>
      </c>
      <c r="N104" s="91">
        <f>'IEPR Gas Prices Real'!N106*(INDEX('GDP Deflator'!$D$6:$D$91,MATCH('IEPR Gas Prices Nominal'!$B104,'GDP Deflator'!$B$6:$B$91,0)))</f>
        <v>7.2353841392629086</v>
      </c>
      <c r="O104" s="19"/>
      <c r="P104" s="229">
        <f t="shared" si="12"/>
        <v>5.911497935913796</v>
      </c>
      <c r="Q104" s="229">
        <f t="shared" si="16"/>
        <v>7.5051223989858791</v>
      </c>
      <c r="R104" s="144"/>
    </row>
    <row r="105" spans="2:18">
      <c r="B105" s="142">
        <f t="shared" si="13"/>
        <v>2030</v>
      </c>
      <c r="C105" s="19">
        <f t="shared" si="14"/>
        <v>4</v>
      </c>
      <c r="D105" s="143">
        <v>47574</v>
      </c>
      <c r="E105" s="19" t="str">
        <f t="shared" si="15"/>
        <v>4-2030</v>
      </c>
      <c r="F105" s="91">
        <f>'IEPR Gas Prices Real'!F107*(INDEX('GDP Deflator'!$D$6:$D$91,MATCH('IEPR Gas Prices Nominal'!$B105,'GDP Deflator'!$B$6:$B$91,0)))</f>
        <v>5.5545385692553673</v>
      </c>
      <c r="G105" s="91">
        <f>'IEPR Gas Prices Real'!G107*(INDEX('GDP Deflator'!$D$6:$D$91,MATCH('IEPR Gas Prices Nominal'!$B105,'GDP Deflator'!$B$6:$B$91,0)))</f>
        <v>1.3934150810622876</v>
      </c>
      <c r="H105" s="91">
        <f>'IEPR Gas Prices Real'!H107*(INDEX('GDP Deflator'!$D$6:$D$91,MATCH('IEPR Gas Prices Nominal'!$B105,'GDP Deflator'!$B$6:$B$91,0)))</f>
        <v>6.9479536503176558</v>
      </c>
      <c r="I105" s="91">
        <f>'IEPR Gas Prices Real'!I107*(INDEX('GDP Deflator'!$D$6:$D$91,MATCH('IEPR Gas Prices Nominal'!$B105,'GDP Deflator'!$B$6:$B$91,0)))</f>
        <v>5.8337566518199733</v>
      </c>
      <c r="J105" s="91">
        <f>'IEPR Gas Prices Real'!J107*(INDEX('GDP Deflator'!$D$6:$D$91,MATCH('IEPR Gas Prices Nominal'!$B105,'GDP Deflator'!$B$6:$B$91,0)))</f>
        <v>2.3008652768631399</v>
      </c>
      <c r="K105" s="91">
        <f>'IEPR Gas Prices Real'!K107*(INDEX('GDP Deflator'!$D$6:$D$91,MATCH('IEPR Gas Prices Nominal'!$B105,'GDP Deflator'!$B$6:$B$91,0)))</f>
        <v>8.1346219286831136</v>
      </c>
      <c r="L105" s="91">
        <f>'IEPR Gas Prices Real'!L107*(INDEX('GDP Deflator'!$D$6:$D$91,MATCH('IEPR Gas Prices Nominal'!$B105,'GDP Deflator'!$B$6:$B$91,0)))</f>
        <v>6.0440487960562548</v>
      </c>
      <c r="M105" s="91">
        <f>'IEPR Gas Prices Real'!M107*(INDEX('GDP Deflator'!$D$6:$D$91,MATCH('IEPR Gas Prices Nominal'!$B105,'GDP Deflator'!$B$6:$B$91,0)))</f>
        <v>1.0865930312908232</v>
      </c>
      <c r="N105" s="91">
        <f>'IEPR Gas Prices Real'!N107*(INDEX('GDP Deflator'!$D$6:$D$91,MATCH('IEPR Gas Prices Nominal'!$B105,'GDP Deflator'!$B$6:$B$91,0)))</f>
        <v>7.1306418273470777</v>
      </c>
      <c r="O105" s="19"/>
      <c r="P105" s="229">
        <f t="shared" si="12"/>
        <v>5.8107813390438645</v>
      </c>
      <c r="Q105" s="229">
        <f t="shared" si="16"/>
        <v>7.4044058021159493</v>
      </c>
      <c r="R105" s="144"/>
    </row>
    <row r="106" spans="2:18">
      <c r="B106" s="142">
        <f t="shared" si="13"/>
        <v>2030</v>
      </c>
      <c r="C106" s="19">
        <f t="shared" si="14"/>
        <v>5</v>
      </c>
      <c r="D106" s="143">
        <v>47604</v>
      </c>
      <c r="E106" s="19" t="str">
        <f t="shared" si="15"/>
        <v>5-2030</v>
      </c>
      <c r="F106" s="91">
        <f>'IEPR Gas Prices Real'!F108*(INDEX('GDP Deflator'!$D$6:$D$91,MATCH('IEPR Gas Prices Nominal'!$B106,'GDP Deflator'!$B$6:$B$91,0)))</f>
        <v>5.7477431769929854</v>
      </c>
      <c r="G106" s="91">
        <f>'IEPR Gas Prices Real'!G108*(INDEX('GDP Deflator'!$D$6:$D$91,MATCH('IEPR Gas Prices Nominal'!$B106,'GDP Deflator'!$B$6:$B$91,0)))</f>
        <v>1.3934150810622876</v>
      </c>
      <c r="H106" s="91">
        <f>'IEPR Gas Prices Real'!H108*(INDEX('GDP Deflator'!$D$6:$D$91,MATCH('IEPR Gas Prices Nominal'!$B106,'GDP Deflator'!$B$6:$B$91,0)))</f>
        <v>7.141158258055273</v>
      </c>
      <c r="I106" s="91">
        <f>'IEPR Gas Prices Real'!I108*(INDEX('GDP Deflator'!$D$6:$D$91,MATCH('IEPR Gas Prices Nominal'!$B106,'GDP Deflator'!$B$6:$B$91,0)))</f>
        <v>6.0366173280024169</v>
      </c>
      <c r="J106" s="91">
        <f>'IEPR Gas Prices Real'!J108*(INDEX('GDP Deflator'!$D$6:$D$91,MATCH('IEPR Gas Prices Nominal'!$B106,'GDP Deflator'!$B$6:$B$91,0)))</f>
        <v>2.3008652768631399</v>
      </c>
      <c r="K106" s="91">
        <f>'IEPR Gas Prices Real'!K108*(INDEX('GDP Deflator'!$D$6:$D$91,MATCH('IEPR Gas Prices Nominal'!$B106,'GDP Deflator'!$B$6:$B$91,0)))</f>
        <v>8.3374826048655581</v>
      </c>
      <c r="L106" s="91">
        <f>'IEPR Gas Prices Real'!L108*(INDEX('GDP Deflator'!$D$6:$D$91,MATCH('IEPR Gas Prices Nominal'!$B106,'GDP Deflator'!$B$6:$B$91,0)))</f>
        <v>6.2542775593485276</v>
      </c>
      <c r="M106" s="91">
        <f>'IEPR Gas Prices Real'!M108*(INDEX('GDP Deflator'!$D$6:$D$91,MATCH('IEPR Gas Prices Nominal'!$B106,'GDP Deflator'!$B$6:$B$91,0)))</f>
        <v>1.0865930312908232</v>
      </c>
      <c r="N106" s="91">
        <f>'IEPR Gas Prices Real'!N108*(INDEX('GDP Deflator'!$D$6:$D$91,MATCH('IEPR Gas Prices Nominal'!$B106,'GDP Deflator'!$B$6:$B$91,0)))</f>
        <v>7.3408705906393505</v>
      </c>
      <c r="O106" s="19"/>
      <c r="P106" s="229">
        <f t="shared" si="12"/>
        <v>6.0128793547813091</v>
      </c>
      <c r="Q106" s="229">
        <f t="shared" si="16"/>
        <v>7.6065038178533939</v>
      </c>
      <c r="R106" s="144"/>
    </row>
    <row r="107" spans="2:18">
      <c r="B107" s="142">
        <f t="shared" si="13"/>
        <v>2030</v>
      </c>
      <c r="C107" s="19">
        <f t="shared" si="14"/>
        <v>6</v>
      </c>
      <c r="D107" s="143">
        <v>47635</v>
      </c>
      <c r="E107" s="19" t="str">
        <f t="shared" si="15"/>
        <v>6-2030</v>
      </c>
      <c r="F107" s="91">
        <f>'IEPR Gas Prices Real'!F109*(INDEX('GDP Deflator'!$D$6:$D$91,MATCH('IEPR Gas Prices Nominal'!$B107,'GDP Deflator'!$B$6:$B$91,0)))</f>
        <v>5.8962224122799594</v>
      </c>
      <c r="G107" s="91">
        <f>'IEPR Gas Prices Real'!G109*(INDEX('GDP Deflator'!$D$6:$D$91,MATCH('IEPR Gas Prices Nominal'!$B107,'GDP Deflator'!$B$6:$B$91,0)))</f>
        <v>1.3934150810622876</v>
      </c>
      <c r="H107" s="91">
        <f>'IEPR Gas Prices Real'!H109*(INDEX('GDP Deflator'!$D$6:$D$91,MATCH('IEPR Gas Prices Nominal'!$B107,'GDP Deflator'!$B$6:$B$91,0)))</f>
        <v>7.289637493342247</v>
      </c>
      <c r="I107" s="91">
        <f>'IEPR Gas Prices Real'!I109*(INDEX('GDP Deflator'!$D$6:$D$91,MATCH('IEPR Gas Prices Nominal'!$B107,'GDP Deflator'!$B$6:$B$91,0)))</f>
        <v>6.1925014545476227</v>
      </c>
      <c r="J107" s="91">
        <f>'IEPR Gas Prices Real'!J109*(INDEX('GDP Deflator'!$D$6:$D$91,MATCH('IEPR Gas Prices Nominal'!$B107,'GDP Deflator'!$B$6:$B$91,0)))</f>
        <v>2.3008652768631399</v>
      </c>
      <c r="K107" s="91">
        <f>'IEPR Gas Prices Real'!K109*(INDEX('GDP Deflator'!$D$6:$D$91,MATCH('IEPR Gas Prices Nominal'!$B107,'GDP Deflator'!$B$6:$B$91,0)))</f>
        <v>8.493366731410763</v>
      </c>
      <c r="L107" s="91">
        <f>'IEPR Gas Prices Real'!L109*(INDEX('GDP Deflator'!$D$6:$D$91,MATCH('IEPR Gas Prices Nominal'!$B107,'GDP Deflator'!$B$6:$B$91,0)))</f>
        <v>6.4158392604038568</v>
      </c>
      <c r="M107" s="91">
        <f>'IEPR Gas Prices Real'!M109*(INDEX('GDP Deflator'!$D$6:$D$91,MATCH('IEPR Gas Prices Nominal'!$B107,'GDP Deflator'!$B$6:$B$91,0)))</f>
        <v>1.0865930312908232</v>
      </c>
      <c r="N107" s="91">
        <f>'IEPR Gas Prices Real'!N109*(INDEX('GDP Deflator'!$D$6:$D$91,MATCH('IEPR Gas Prices Nominal'!$B107,'GDP Deflator'!$B$6:$B$91,0)))</f>
        <v>7.5024322916946797</v>
      </c>
      <c r="O107" s="19"/>
      <c r="P107" s="229">
        <f t="shared" si="12"/>
        <v>6.168187709077146</v>
      </c>
      <c r="Q107" s="229">
        <f t="shared" si="16"/>
        <v>7.7618121721492299</v>
      </c>
      <c r="R107" s="144"/>
    </row>
    <row r="108" spans="2:18">
      <c r="B108" s="142">
        <f t="shared" si="13"/>
        <v>2030</v>
      </c>
      <c r="C108" s="19">
        <f t="shared" si="14"/>
        <v>7</v>
      </c>
      <c r="D108" s="143">
        <v>47665</v>
      </c>
      <c r="E108" s="19" t="str">
        <f t="shared" si="15"/>
        <v>7-2030</v>
      </c>
      <c r="F108" s="91">
        <f>'IEPR Gas Prices Real'!F110*(INDEX('GDP Deflator'!$D$6:$D$91,MATCH('IEPR Gas Prices Nominal'!$B108,'GDP Deflator'!$B$6:$B$91,0)))</f>
        <v>5.9428873354079261</v>
      </c>
      <c r="G108" s="91">
        <f>'IEPR Gas Prices Real'!G110*(INDEX('GDP Deflator'!$D$6:$D$91,MATCH('IEPR Gas Prices Nominal'!$B108,'GDP Deflator'!$B$6:$B$91,0)))</f>
        <v>1.3934150810622876</v>
      </c>
      <c r="H108" s="91">
        <f>'IEPR Gas Prices Real'!H110*(INDEX('GDP Deflator'!$D$6:$D$91,MATCH('IEPR Gas Prices Nominal'!$B108,'GDP Deflator'!$B$6:$B$91,0)))</f>
        <v>7.3363024164702146</v>
      </c>
      <c r="I108" s="91">
        <f>'IEPR Gas Prices Real'!I110*(INDEX('GDP Deflator'!$D$6:$D$91,MATCH('IEPR Gas Prices Nominal'!$B108,'GDP Deflator'!$B$6:$B$91,0)))</f>
        <v>6.2414532961364699</v>
      </c>
      <c r="J108" s="91">
        <f>'IEPR Gas Prices Real'!J110*(INDEX('GDP Deflator'!$D$6:$D$91,MATCH('IEPR Gas Prices Nominal'!$B108,'GDP Deflator'!$B$6:$B$91,0)))</f>
        <v>2.3008652768631399</v>
      </c>
      <c r="K108" s="91">
        <f>'IEPR Gas Prices Real'!K110*(INDEX('GDP Deflator'!$D$6:$D$91,MATCH('IEPR Gas Prices Nominal'!$B108,'GDP Deflator'!$B$6:$B$91,0)))</f>
        <v>8.5423185729996103</v>
      </c>
      <c r="L108" s="91">
        <f>'IEPR Gas Prices Real'!L110*(INDEX('GDP Deflator'!$D$6:$D$91,MATCH('IEPR Gas Prices Nominal'!$B108,'GDP Deflator'!$B$6:$B$91,0)))</f>
        <v>6.4666139637879931</v>
      </c>
      <c r="M108" s="91">
        <f>'IEPR Gas Prices Real'!M110*(INDEX('GDP Deflator'!$D$6:$D$91,MATCH('IEPR Gas Prices Nominal'!$B108,'GDP Deflator'!$B$6:$B$91,0)))</f>
        <v>1.0865930312908232</v>
      </c>
      <c r="N108" s="91">
        <f>'IEPR Gas Prices Real'!N110*(INDEX('GDP Deflator'!$D$6:$D$91,MATCH('IEPR Gas Prices Nominal'!$B108,'GDP Deflator'!$B$6:$B$91,0)))</f>
        <v>7.5532069950788161</v>
      </c>
      <c r="O108" s="19"/>
      <c r="P108" s="229">
        <f t="shared" si="12"/>
        <v>6.2169848651107964</v>
      </c>
      <c r="Q108" s="229">
        <f t="shared" si="16"/>
        <v>7.8106093281828803</v>
      </c>
      <c r="R108" s="144"/>
    </row>
    <row r="109" spans="2:18">
      <c r="B109" s="142">
        <f t="shared" si="13"/>
        <v>2030</v>
      </c>
      <c r="C109" s="19">
        <f t="shared" si="14"/>
        <v>8</v>
      </c>
      <c r="D109" s="143">
        <v>47696</v>
      </c>
      <c r="E109" s="19" t="str">
        <f t="shared" si="15"/>
        <v>8-2030</v>
      </c>
      <c r="F109" s="91">
        <f>'IEPR Gas Prices Real'!F111*(INDEX('GDP Deflator'!$D$6:$D$91,MATCH('IEPR Gas Prices Nominal'!$B109,'GDP Deflator'!$B$6:$B$91,0)))</f>
        <v>5.8968725164880107</v>
      </c>
      <c r="G109" s="91">
        <f>'IEPR Gas Prices Real'!G111*(INDEX('GDP Deflator'!$D$6:$D$91,MATCH('IEPR Gas Prices Nominal'!$B109,'GDP Deflator'!$B$6:$B$91,0)))</f>
        <v>1.3934150810622876</v>
      </c>
      <c r="H109" s="91">
        <f>'IEPR Gas Prices Real'!H111*(INDEX('GDP Deflator'!$D$6:$D$91,MATCH('IEPR Gas Prices Nominal'!$B109,'GDP Deflator'!$B$6:$B$91,0)))</f>
        <v>7.2902875975502992</v>
      </c>
      <c r="I109" s="91">
        <f>'IEPR Gas Prices Real'!I111*(INDEX('GDP Deflator'!$D$6:$D$91,MATCH('IEPR Gas Prices Nominal'!$B109,'GDP Deflator'!$B$6:$B$91,0)))</f>
        <v>6.1930692253997437</v>
      </c>
      <c r="J109" s="91">
        <f>'IEPR Gas Prices Real'!J111*(INDEX('GDP Deflator'!$D$6:$D$91,MATCH('IEPR Gas Prices Nominal'!$B109,'GDP Deflator'!$B$6:$B$91,0)))</f>
        <v>2.3008652768631399</v>
      </c>
      <c r="K109" s="91">
        <f>'IEPR Gas Prices Real'!K111*(INDEX('GDP Deflator'!$D$6:$D$91,MATCH('IEPR Gas Prices Nominal'!$B109,'GDP Deflator'!$B$6:$B$91,0)))</f>
        <v>8.4939345022628832</v>
      </c>
      <c r="L109" s="91">
        <f>'IEPR Gas Prices Real'!L111*(INDEX('GDP Deflator'!$D$6:$D$91,MATCH('IEPR Gas Prices Nominal'!$B109,'GDP Deflator'!$B$6:$B$91,0)))</f>
        <v>6.416541371253552</v>
      </c>
      <c r="M109" s="91">
        <f>'IEPR Gas Prices Real'!M111*(INDEX('GDP Deflator'!$D$6:$D$91,MATCH('IEPR Gas Prices Nominal'!$B109,'GDP Deflator'!$B$6:$B$91,0)))</f>
        <v>1.0865930312908232</v>
      </c>
      <c r="N109" s="91">
        <f>'IEPR Gas Prices Real'!N111*(INDEX('GDP Deflator'!$D$6:$D$91,MATCH('IEPR Gas Prices Nominal'!$B109,'GDP Deflator'!$B$6:$B$91,0)))</f>
        <v>7.503134402544374</v>
      </c>
      <c r="O109" s="19"/>
      <c r="P109" s="229">
        <f t="shared" si="12"/>
        <v>6.168827704380436</v>
      </c>
      <c r="Q109" s="229">
        <f t="shared" si="16"/>
        <v>7.7624521674525182</v>
      </c>
      <c r="R109" s="144"/>
    </row>
    <row r="110" spans="2:18">
      <c r="B110" s="142">
        <f t="shared" si="13"/>
        <v>2030</v>
      </c>
      <c r="C110" s="19">
        <f t="shared" si="14"/>
        <v>9</v>
      </c>
      <c r="D110" s="143">
        <v>47727</v>
      </c>
      <c r="E110" s="19" t="str">
        <f t="shared" si="15"/>
        <v>9-2030</v>
      </c>
      <c r="F110" s="91">
        <f>'IEPR Gas Prices Real'!F112*(INDEX('GDP Deflator'!$D$6:$D$91,MATCH('IEPR Gas Prices Nominal'!$B110,'GDP Deflator'!$B$6:$B$91,0)))</f>
        <v>5.9797042135645393</v>
      </c>
      <c r="G110" s="91">
        <f>'IEPR Gas Prices Real'!G112*(INDEX('GDP Deflator'!$D$6:$D$91,MATCH('IEPR Gas Prices Nominal'!$B110,'GDP Deflator'!$B$6:$B$91,0)))</f>
        <v>1.3934150810622876</v>
      </c>
      <c r="H110" s="91">
        <f>'IEPR Gas Prices Real'!H112*(INDEX('GDP Deflator'!$D$6:$D$91,MATCH('IEPR Gas Prices Nominal'!$B110,'GDP Deflator'!$B$6:$B$91,0)))</f>
        <v>7.3731192946268269</v>
      </c>
      <c r="I110" s="91">
        <f>'IEPR Gas Prices Real'!I112*(INDEX('GDP Deflator'!$D$6:$D$91,MATCH('IEPR Gas Prices Nominal'!$B110,'GDP Deflator'!$B$6:$B$91,0)))</f>
        <v>6.2800031951896802</v>
      </c>
      <c r="J110" s="91">
        <f>'IEPR Gas Prices Real'!J112*(INDEX('GDP Deflator'!$D$6:$D$91,MATCH('IEPR Gas Prices Nominal'!$B110,'GDP Deflator'!$B$6:$B$91,0)))</f>
        <v>2.3008652768631399</v>
      </c>
      <c r="K110" s="91">
        <f>'IEPR Gas Prices Real'!K112*(INDEX('GDP Deflator'!$D$6:$D$91,MATCH('IEPR Gas Prices Nominal'!$B110,'GDP Deflator'!$B$6:$B$91,0)))</f>
        <v>8.5808684720528206</v>
      </c>
      <c r="L110" s="91">
        <f>'IEPR Gas Prices Real'!L112*(INDEX('GDP Deflator'!$D$6:$D$91,MATCH('IEPR Gas Prices Nominal'!$B110,'GDP Deflator'!$B$6:$B$91,0)))</f>
        <v>6.5066700292813078</v>
      </c>
      <c r="M110" s="91">
        <f>'IEPR Gas Prices Real'!M112*(INDEX('GDP Deflator'!$D$6:$D$91,MATCH('IEPR Gas Prices Nominal'!$B110,'GDP Deflator'!$B$6:$B$91,0)))</f>
        <v>1.0865930312908232</v>
      </c>
      <c r="N110" s="91">
        <f>'IEPR Gas Prices Real'!N112*(INDEX('GDP Deflator'!$D$6:$D$91,MATCH('IEPR Gas Prices Nominal'!$B110,'GDP Deflator'!$B$6:$B$91,0)))</f>
        <v>7.5932630605721307</v>
      </c>
      <c r="O110" s="19"/>
      <c r="P110" s="229">
        <f t="shared" si="12"/>
        <v>6.2554591460118418</v>
      </c>
      <c r="Q110" s="229">
        <f t="shared" si="16"/>
        <v>7.8490836090839267</v>
      </c>
      <c r="R110" s="144"/>
    </row>
    <row r="111" spans="2:18">
      <c r="B111" s="142">
        <f t="shared" si="13"/>
        <v>2030</v>
      </c>
      <c r="C111" s="19">
        <f t="shared" si="14"/>
        <v>10</v>
      </c>
      <c r="D111" s="143">
        <v>47757</v>
      </c>
      <c r="E111" s="19" t="str">
        <f t="shared" si="15"/>
        <v>10-2030</v>
      </c>
      <c r="F111" s="91">
        <f>'IEPR Gas Prices Real'!F113*(INDEX('GDP Deflator'!$D$6:$D$91,MATCH('IEPR Gas Prices Nominal'!$B111,'GDP Deflator'!$B$6:$B$91,0)))</f>
        <v>5.9451338033915633</v>
      </c>
      <c r="G111" s="91">
        <f>'IEPR Gas Prices Real'!G113*(INDEX('GDP Deflator'!$D$6:$D$91,MATCH('IEPR Gas Prices Nominal'!$B111,'GDP Deflator'!$B$6:$B$91,0)))</f>
        <v>1.3934150810622876</v>
      </c>
      <c r="H111" s="91">
        <f>'IEPR Gas Prices Real'!H113*(INDEX('GDP Deflator'!$D$6:$D$91,MATCH('IEPR Gas Prices Nominal'!$B111,'GDP Deflator'!$B$6:$B$91,0)))</f>
        <v>7.3385488844538509</v>
      </c>
      <c r="I111" s="91">
        <f>'IEPR Gas Prices Real'!I113*(INDEX('GDP Deflator'!$D$6:$D$91,MATCH('IEPR Gas Prices Nominal'!$B111,'GDP Deflator'!$B$6:$B$91,0)))</f>
        <v>6.2436386808177238</v>
      </c>
      <c r="J111" s="91">
        <f>'IEPR Gas Prices Real'!J113*(INDEX('GDP Deflator'!$D$6:$D$91,MATCH('IEPR Gas Prices Nominal'!$B111,'GDP Deflator'!$B$6:$B$91,0)))</f>
        <v>2.3008652768631399</v>
      </c>
      <c r="K111" s="91">
        <f>'IEPR Gas Prices Real'!K113*(INDEX('GDP Deflator'!$D$6:$D$91,MATCH('IEPR Gas Prices Nominal'!$B111,'GDP Deflator'!$B$6:$B$91,0)))</f>
        <v>8.5445039576808632</v>
      </c>
      <c r="L111" s="91">
        <f>'IEPR Gas Prices Real'!L113*(INDEX('GDP Deflator'!$D$6:$D$91,MATCH('IEPR Gas Prices Nominal'!$B111,'GDP Deflator'!$B$6:$B$91,0)))</f>
        <v>6.4690504113717093</v>
      </c>
      <c r="M111" s="91">
        <f>'IEPR Gas Prices Real'!M113*(INDEX('GDP Deflator'!$D$6:$D$91,MATCH('IEPR Gas Prices Nominal'!$B111,'GDP Deflator'!$B$6:$B$91,0)))</f>
        <v>1.0865930312908232</v>
      </c>
      <c r="N111" s="91">
        <f>'IEPR Gas Prices Real'!N113*(INDEX('GDP Deflator'!$D$6:$D$91,MATCH('IEPR Gas Prices Nominal'!$B111,'GDP Deflator'!$B$6:$B$91,0)))</f>
        <v>7.5556434426625323</v>
      </c>
      <c r="O111" s="19"/>
      <c r="P111" s="229">
        <f t="shared" si="12"/>
        <v>6.219274298527</v>
      </c>
      <c r="Q111" s="229">
        <f t="shared" si="16"/>
        <v>7.8128987615990821</v>
      </c>
      <c r="R111" s="144"/>
    </row>
    <row r="112" spans="2:18">
      <c r="B112" s="142">
        <f t="shared" si="13"/>
        <v>2030</v>
      </c>
      <c r="C112" s="19">
        <f t="shared" si="14"/>
        <v>11</v>
      </c>
      <c r="D112" s="143">
        <v>47788</v>
      </c>
      <c r="E112" s="19" t="str">
        <f t="shared" si="15"/>
        <v>11-2030</v>
      </c>
      <c r="F112" s="91">
        <f>'IEPR Gas Prices Real'!F114*(INDEX('GDP Deflator'!$D$6:$D$91,MATCH('IEPR Gas Prices Nominal'!$B112,'GDP Deflator'!$B$6:$B$91,0)))</f>
        <v>6.2388651152559866</v>
      </c>
      <c r="G112" s="91">
        <f>'IEPR Gas Prices Real'!G114*(INDEX('GDP Deflator'!$D$6:$D$91,MATCH('IEPR Gas Prices Nominal'!$B112,'GDP Deflator'!$B$6:$B$91,0)))</f>
        <v>1.3934150810622876</v>
      </c>
      <c r="H112" s="91">
        <f>'IEPR Gas Prices Real'!H114*(INDEX('GDP Deflator'!$D$6:$D$91,MATCH('IEPR Gas Prices Nominal'!$B112,'GDP Deflator'!$B$6:$B$91,0)))</f>
        <v>7.6322801963182743</v>
      </c>
      <c r="I112" s="91">
        <f>'IEPR Gas Prices Real'!I114*(INDEX('GDP Deflator'!$D$6:$D$91,MATCH('IEPR Gas Prices Nominal'!$B112,'GDP Deflator'!$B$6:$B$91,0)))</f>
        <v>6.5520573666608737</v>
      </c>
      <c r="J112" s="91">
        <f>'IEPR Gas Prices Real'!J114*(INDEX('GDP Deflator'!$D$6:$D$91,MATCH('IEPR Gas Prices Nominal'!$B112,'GDP Deflator'!$B$6:$B$91,0)))</f>
        <v>2.3008652768631399</v>
      </c>
      <c r="K112" s="91">
        <f>'IEPR Gas Prices Real'!K114*(INDEX('GDP Deflator'!$D$6:$D$91,MATCH('IEPR Gas Prices Nominal'!$B112,'GDP Deflator'!$B$6:$B$91,0)))</f>
        <v>8.852922643524014</v>
      </c>
      <c r="L112" s="91">
        <f>'IEPR Gas Prices Real'!L114*(INDEX('GDP Deflator'!$D$6:$D$91,MATCH('IEPR Gas Prices Nominal'!$B112,'GDP Deflator'!$B$6:$B$91,0)))</f>
        <v>6.7886640816522155</v>
      </c>
      <c r="M112" s="91">
        <f>'IEPR Gas Prices Real'!M114*(INDEX('GDP Deflator'!$D$6:$D$91,MATCH('IEPR Gas Prices Nominal'!$B112,'GDP Deflator'!$B$6:$B$91,0)))</f>
        <v>1.0865930312908232</v>
      </c>
      <c r="N112" s="91">
        <f>'IEPR Gas Prices Real'!N114*(INDEX('GDP Deflator'!$D$6:$D$91,MATCH('IEPR Gas Prices Nominal'!$B112,'GDP Deflator'!$B$6:$B$91,0)))</f>
        <v>7.8752571129430384</v>
      </c>
      <c r="O112" s="19"/>
      <c r="P112" s="229">
        <f t="shared" si="12"/>
        <v>6.5265288545230256</v>
      </c>
      <c r="Q112" s="229">
        <f t="shared" si="16"/>
        <v>8.1201533175951095</v>
      </c>
      <c r="R112" s="144"/>
    </row>
    <row r="113" spans="2:18">
      <c r="B113" s="142">
        <f t="shared" si="13"/>
        <v>2030</v>
      </c>
      <c r="C113" s="19">
        <f t="shared" si="14"/>
        <v>12</v>
      </c>
      <c r="D113" s="143">
        <v>47818</v>
      </c>
      <c r="E113" s="19" t="str">
        <f t="shared" si="15"/>
        <v>12-2030</v>
      </c>
      <c r="F113" s="91">
        <f>'IEPR Gas Prices Real'!F115*(INDEX('GDP Deflator'!$D$6:$D$91,MATCH('IEPR Gas Prices Nominal'!$B113,'GDP Deflator'!$B$6:$B$91,0)))</f>
        <v>6.288928419338025</v>
      </c>
      <c r="G113" s="91">
        <f>'IEPR Gas Prices Real'!G115*(INDEX('GDP Deflator'!$D$6:$D$91,MATCH('IEPR Gas Prices Nominal'!$B113,'GDP Deflator'!$B$6:$B$91,0)))</f>
        <v>1.3934150810622876</v>
      </c>
      <c r="H113" s="91">
        <f>'IEPR Gas Prices Real'!H115*(INDEX('GDP Deflator'!$D$6:$D$91,MATCH('IEPR Gas Prices Nominal'!$B113,'GDP Deflator'!$B$6:$B$91,0)))</f>
        <v>7.6823435004003127</v>
      </c>
      <c r="I113" s="91">
        <f>'IEPR Gas Prices Real'!I115*(INDEX('GDP Deflator'!$D$6:$D$91,MATCH('IEPR Gas Prices Nominal'!$B113,'GDP Deflator'!$B$6:$B$91,0)))</f>
        <v>6.6045725017760342</v>
      </c>
      <c r="J113" s="91">
        <f>'IEPR Gas Prices Real'!J115*(INDEX('GDP Deflator'!$D$6:$D$91,MATCH('IEPR Gas Prices Nominal'!$B113,'GDP Deflator'!$B$6:$B$91,0)))</f>
        <v>2.3008652768631399</v>
      </c>
      <c r="K113" s="91">
        <f>'IEPR Gas Prices Real'!K115*(INDEX('GDP Deflator'!$D$6:$D$91,MATCH('IEPR Gas Prices Nominal'!$B113,'GDP Deflator'!$B$6:$B$91,0)))</f>
        <v>8.9054377786391736</v>
      </c>
      <c r="L113" s="91">
        <f>'IEPR Gas Prices Real'!L115*(INDEX('GDP Deflator'!$D$6:$D$91,MATCH('IEPR Gas Prices Nominal'!$B113,'GDP Deflator'!$B$6:$B$91,0)))</f>
        <v>6.8431363864029269</v>
      </c>
      <c r="M113" s="91">
        <f>'IEPR Gas Prices Real'!M115*(INDEX('GDP Deflator'!$D$6:$D$91,MATCH('IEPR Gas Prices Nominal'!$B113,'GDP Deflator'!$B$6:$B$91,0)))</f>
        <v>1.0865930312908232</v>
      </c>
      <c r="N113" s="91">
        <f>'IEPR Gas Prices Real'!N115*(INDEX('GDP Deflator'!$D$6:$D$91,MATCH('IEPR Gas Prices Nominal'!$B113,'GDP Deflator'!$B$6:$B$91,0)))</f>
        <v>7.9297294176937498</v>
      </c>
      <c r="O113" s="19"/>
      <c r="P113" s="229">
        <f t="shared" si="12"/>
        <v>6.5788791025056623</v>
      </c>
      <c r="Q113" s="229">
        <f t="shared" si="16"/>
        <v>8.1725035655777454</v>
      </c>
      <c r="R113" s="144"/>
    </row>
    <row r="114" spans="2:18">
      <c r="B114" s="142">
        <f t="shared" si="13"/>
        <v>2031</v>
      </c>
      <c r="C114" s="19">
        <f t="shared" si="14"/>
        <v>1</v>
      </c>
      <c r="D114" s="143">
        <v>47849</v>
      </c>
      <c r="E114" s="19" t="str">
        <f t="shared" si="15"/>
        <v>1-2031</v>
      </c>
      <c r="F114" s="91">
        <f>'IEPR Gas Prices Real'!F116*(INDEX('GDP Deflator'!$D$6:$D$91,MATCH('IEPR Gas Prices Nominal'!$B114,'GDP Deflator'!$B$6:$B$91,0)))</f>
        <v>6.4213923840952969</v>
      </c>
      <c r="G114" s="91">
        <f>'IEPR Gas Prices Real'!G116*(INDEX('GDP Deflator'!$D$6:$D$91,MATCH('IEPR Gas Prices Nominal'!$B114,'GDP Deflator'!$B$6:$B$91,0)))</f>
        <v>1.4796318386717604</v>
      </c>
      <c r="H114" s="91">
        <f>'IEPR Gas Prices Real'!H116*(INDEX('GDP Deflator'!$D$6:$D$91,MATCH('IEPR Gas Prices Nominal'!$B114,'GDP Deflator'!$B$6:$B$91,0)))</f>
        <v>7.9010242227670568</v>
      </c>
      <c r="I114" s="91">
        <f>'IEPR Gas Prices Real'!I116*(INDEX('GDP Deflator'!$D$6:$D$91,MATCH('IEPR Gas Prices Nominal'!$B114,'GDP Deflator'!$B$6:$B$91,0)))</f>
        <v>6.7437073794543592</v>
      </c>
      <c r="J114" s="91">
        <f>'IEPR Gas Prices Real'!J116*(INDEX('GDP Deflator'!$D$6:$D$91,MATCH('IEPR Gas Prices Nominal'!$B114,'GDP Deflator'!$B$6:$B$91,0)))</f>
        <v>2.443229993998346</v>
      </c>
      <c r="K114" s="91">
        <f>'IEPR Gas Prices Real'!K116*(INDEX('GDP Deflator'!$D$6:$D$91,MATCH('IEPR Gas Prices Nominal'!$B114,'GDP Deflator'!$B$6:$B$91,0)))</f>
        <v>9.1869373734527056</v>
      </c>
      <c r="L114" s="91">
        <f>'IEPR Gas Prices Real'!L116*(INDEX('GDP Deflator'!$D$6:$D$91,MATCH('IEPR Gas Prices Nominal'!$B114,'GDP Deflator'!$B$6:$B$91,0)))</f>
        <v>6.9873499575312978</v>
      </c>
      <c r="M114" s="91">
        <f>'IEPR Gas Prices Real'!M116*(INDEX('GDP Deflator'!$D$6:$D$91,MATCH('IEPR Gas Prices Nominal'!$B114,'GDP Deflator'!$B$6:$B$91,0)))</f>
        <v>1.1538253508431013</v>
      </c>
      <c r="N114" s="91">
        <f>'IEPR Gas Prices Real'!N116*(INDEX('GDP Deflator'!$D$6:$D$91,MATCH('IEPR Gas Prices Nominal'!$B114,'GDP Deflator'!$B$6:$B$91,0)))</f>
        <v>8.1411753083743985</v>
      </c>
      <c r="O114" s="19"/>
      <c r="P114" s="229">
        <f t="shared" si="12"/>
        <v>6.7174832403603171</v>
      </c>
      <c r="Q114" s="229">
        <f t="shared" si="16"/>
        <v>8.4097123015313873</v>
      </c>
      <c r="R114" s="144"/>
    </row>
    <row r="115" spans="2:18">
      <c r="B115" s="142">
        <f t="shared" si="13"/>
        <v>2031</v>
      </c>
      <c r="C115" s="19">
        <f t="shared" si="14"/>
        <v>2</v>
      </c>
      <c r="D115" s="143">
        <v>47880</v>
      </c>
      <c r="E115" s="19" t="str">
        <f t="shared" si="15"/>
        <v>2-2031</v>
      </c>
      <c r="F115" s="91">
        <f>'IEPR Gas Prices Real'!F117*(INDEX('GDP Deflator'!$D$6:$D$91,MATCH('IEPR Gas Prices Nominal'!$B115,'GDP Deflator'!$B$6:$B$91,0)))</f>
        <v>6.2804203665269878</v>
      </c>
      <c r="G115" s="91">
        <f>'IEPR Gas Prices Real'!G117*(INDEX('GDP Deflator'!$D$6:$D$91,MATCH('IEPR Gas Prices Nominal'!$B115,'GDP Deflator'!$B$6:$B$91,0)))</f>
        <v>1.4796318386717604</v>
      </c>
      <c r="H115" s="91">
        <f>'IEPR Gas Prices Real'!H117*(INDEX('GDP Deflator'!$D$6:$D$91,MATCH('IEPR Gas Prices Nominal'!$B115,'GDP Deflator'!$B$6:$B$91,0)))</f>
        <v>7.7600522051987486</v>
      </c>
      <c r="I115" s="91">
        <f>'IEPR Gas Prices Real'!I117*(INDEX('GDP Deflator'!$D$6:$D$91,MATCH('IEPR Gas Prices Nominal'!$B115,'GDP Deflator'!$B$6:$B$91,0)))</f>
        <v>6.595681418351047</v>
      </c>
      <c r="J115" s="91">
        <f>'IEPR Gas Prices Real'!J117*(INDEX('GDP Deflator'!$D$6:$D$91,MATCH('IEPR Gas Prices Nominal'!$B115,'GDP Deflator'!$B$6:$B$91,0)))</f>
        <v>2.443229993998346</v>
      </c>
      <c r="K115" s="91">
        <f>'IEPR Gas Prices Real'!K117*(INDEX('GDP Deflator'!$D$6:$D$91,MATCH('IEPR Gas Prices Nominal'!$B115,'GDP Deflator'!$B$6:$B$91,0)))</f>
        <v>9.0389114123493925</v>
      </c>
      <c r="L115" s="91">
        <f>'IEPR Gas Prices Real'!L117*(INDEX('GDP Deflator'!$D$6:$D$91,MATCH('IEPR Gas Prices Nominal'!$B115,'GDP Deflator'!$B$6:$B$91,0)))</f>
        <v>6.8340278282124034</v>
      </c>
      <c r="M115" s="91">
        <f>'IEPR Gas Prices Real'!M117*(INDEX('GDP Deflator'!$D$6:$D$91,MATCH('IEPR Gas Prices Nominal'!$B115,'GDP Deflator'!$B$6:$B$91,0)))</f>
        <v>1.1538253508431013</v>
      </c>
      <c r="N115" s="91">
        <f>'IEPR Gas Prices Real'!N117*(INDEX('GDP Deflator'!$D$6:$D$91,MATCH('IEPR Gas Prices Nominal'!$B115,'GDP Deflator'!$B$6:$B$91,0)))</f>
        <v>7.987853179055505</v>
      </c>
      <c r="O115" s="19"/>
      <c r="P115" s="229">
        <f t="shared" si="12"/>
        <v>6.5700432043634791</v>
      </c>
      <c r="Q115" s="229">
        <f t="shared" si="16"/>
        <v>8.2622722655345484</v>
      </c>
      <c r="R115" s="144"/>
    </row>
    <row r="116" spans="2:18">
      <c r="B116" s="142">
        <f t="shared" si="13"/>
        <v>2031</v>
      </c>
      <c r="C116" s="19">
        <f t="shared" si="14"/>
        <v>3</v>
      </c>
      <c r="D116" s="143">
        <v>47908</v>
      </c>
      <c r="E116" s="19" t="str">
        <f t="shared" si="15"/>
        <v>3-2031</v>
      </c>
      <c r="F116" s="91">
        <f>'IEPR Gas Prices Real'!F118*(INDEX('GDP Deflator'!$D$6:$D$91,MATCH('IEPR Gas Prices Nominal'!$B116,'GDP Deflator'!$B$6:$B$91,0)))</f>
        <v>5.7652745123456333</v>
      </c>
      <c r="G116" s="91">
        <f>'IEPR Gas Prices Real'!G118*(INDEX('GDP Deflator'!$D$6:$D$91,MATCH('IEPR Gas Prices Nominal'!$B116,'GDP Deflator'!$B$6:$B$91,0)))</f>
        <v>1.4796318386717604</v>
      </c>
      <c r="H116" s="91">
        <f>'IEPR Gas Prices Real'!H118*(INDEX('GDP Deflator'!$D$6:$D$91,MATCH('IEPR Gas Prices Nominal'!$B116,'GDP Deflator'!$B$6:$B$91,0)))</f>
        <v>7.244906351017395</v>
      </c>
      <c r="I116" s="91">
        <f>'IEPR Gas Prices Real'!I118*(INDEX('GDP Deflator'!$D$6:$D$91,MATCH('IEPR Gas Prices Nominal'!$B116,'GDP Deflator'!$B$6:$B$91,0)))</f>
        <v>6.0546967550444837</v>
      </c>
      <c r="J116" s="91">
        <f>'IEPR Gas Prices Real'!J118*(INDEX('GDP Deflator'!$D$6:$D$91,MATCH('IEPR Gas Prices Nominal'!$B116,'GDP Deflator'!$B$6:$B$91,0)))</f>
        <v>2.443229993998346</v>
      </c>
      <c r="K116" s="91">
        <f>'IEPR Gas Prices Real'!K118*(INDEX('GDP Deflator'!$D$6:$D$91,MATCH('IEPR Gas Prices Nominal'!$B116,'GDP Deflator'!$B$6:$B$91,0)))</f>
        <v>8.4979267490428292</v>
      </c>
      <c r="L116" s="91">
        <f>'IEPR Gas Prices Real'!L118*(INDEX('GDP Deflator'!$D$6:$D$91,MATCH('IEPR Gas Prices Nominal'!$B116,'GDP Deflator'!$B$6:$B$91,0)))</f>
        <v>6.2735413417445303</v>
      </c>
      <c r="M116" s="91">
        <f>'IEPR Gas Prices Real'!M118*(INDEX('GDP Deflator'!$D$6:$D$91,MATCH('IEPR Gas Prices Nominal'!$B116,'GDP Deflator'!$B$6:$B$91,0)))</f>
        <v>1.1538253508431013</v>
      </c>
      <c r="N116" s="91">
        <f>'IEPR Gas Prices Real'!N118*(INDEX('GDP Deflator'!$D$6:$D$91,MATCH('IEPR Gas Prices Nominal'!$B116,'GDP Deflator'!$B$6:$B$91,0)))</f>
        <v>7.4273666925876318</v>
      </c>
      <c r="O116" s="19"/>
      <c r="P116" s="229">
        <f t="shared" si="12"/>
        <v>6.0311708697115485</v>
      </c>
      <c r="Q116" s="229">
        <f t="shared" si="16"/>
        <v>7.7233999308826187</v>
      </c>
      <c r="R116" s="144"/>
    </row>
    <row r="117" spans="2:18">
      <c r="B117" s="142">
        <f t="shared" si="13"/>
        <v>2031</v>
      </c>
      <c r="C117" s="19">
        <f t="shared" si="14"/>
        <v>4</v>
      </c>
      <c r="D117" s="143">
        <v>47939</v>
      </c>
      <c r="E117" s="19" t="str">
        <f t="shared" si="15"/>
        <v>4-2031</v>
      </c>
      <c r="F117" s="91">
        <f>'IEPR Gas Prices Real'!F119*(INDEX('GDP Deflator'!$D$6:$D$91,MATCH('IEPR Gas Prices Nominal'!$B117,'GDP Deflator'!$B$6:$B$91,0)))</f>
        <v>5.6670104582357013</v>
      </c>
      <c r="G117" s="91">
        <f>'IEPR Gas Prices Real'!G119*(INDEX('GDP Deflator'!$D$6:$D$91,MATCH('IEPR Gas Prices Nominal'!$B117,'GDP Deflator'!$B$6:$B$91,0)))</f>
        <v>1.4796318386717604</v>
      </c>
      <c r="H117" s="91">
        <f>'IEPR Gas Prices Real'!H119*(INDEX('GDP Deflator'!$D$6:$D$91,MATCH('IEPR Gas Prices Nominal'!$B117,'GDP Deflator'!$B$6:$B$91,0)))</f>
        <v>7.1466422969074612</v>
      </c>
      <c r="I117" s="91">
        <f>'IEPR Gas Prices Real'!I119*(INDEX('GDP Deflator'!$D$6:$D$91,MATCH('IEPR Gas Prices Nominal'!$B117,'GDP Deflator'!$B$6:$B$91,0)))</f>
        <v>5.9515196071235241</v>
      </c>
      <c r="J117" s="91">
        <f>'IEPR Gas Prices Real'!J119*(INDEX('GDP Deflator'!$D$6:$D$91,MATCH('IEPR Gas Prices Nominal'!$B117,'GDP Deflator'!$B$6:$B$91,0)))</f>
        <v>2.443229993998346</v>
      </c>
      <c r="K117" s="91">
        <f>'IEPR Gas Prices Real'!K119*(INDEX('GDP Deflator'!$D$6:$D$91,MATCH('IEPR Gas Prices Nominal'!$B117,'GDP Deflator'!$B$6:$B$91,0)))</f>
        <v>8.3947496011218696</v>
      </c>
      <c r="L117" s="91">
        <f>'IEPR Gas Prices Real'!L119*(INDEX('GDP Deflator'!$D$6:$D$91,MATCH('IEPR Gas Prices Nominal'!$B117,'GDP Deflator'!$B$6:$B$91,0)))</f>
        <v>6.1666816901390948</v>
      </c>
      <c r="M117" s="91">
        <f>'IEPR Gas Prices Real'!M119*(INDEX('GDP Deflator'!$D$6:$D$91,MATCH('IEPR Gas Prices Nominal'!$B117,'GDP Deflator'!$B$6:$B$91,0)))</f>
        <v>1.1538253508431013</v>
      </c>
      <c r="N117" s="91">
        <f>'IEPR Gas Prices Real'!N119*(INDEX('GDP Deflator'!$D$6:$D$91,MATCH('IEPR Gas Prices Nominal'!$B117,'GDP Deflator'!$B$6:$B$91,0)))</f>
        <v>7.3205070409821964</v>
      </c>
      <c r="O117" s="19"/>
      <c r="P117" s="229">
        <f t="shared" si="12"/>
        <v>5.9284039184994404</v>
      </c>
      <c r="Q117" s="229">
        <f t="shared" si="16"/>
        <v>7.6206329796705097</v>
      </c>
      <c r="R117" s="144"/>
    </row>
    <row r="118" spans="2:18">
      <c r="B118" s="142">
        <f t="shared" si="13"/>
        <v>2031</v>
      </c>
      <c r="C118" s="19">
        <f t="shared" si="14"/>
        <v>5</v>
      </c>
      <c r="D118" s="143">
        <v>47969</v>
      </c>
      <c r="E118" s="19" t="str">
        <f t="shared" si="15"/>
        <v>5-2031</v>
      </c>
      <c r="F118" s="91">
        <f>'IEPR Gas Prices Real'!F120*(INDEX('GDP Deflator'!$D$6:$D$91,MATCH('IEPR Gas Prices Nominal'!$B118,'GDP Deflator'!$B$6:$B$91,0)))</f>
        <v>5.8640680692568532</v>
      </c>
      <c r="G118" s="91">
        <f>'IEPR Gas Prices Real'!G120*(INDEX('GDP Deflator'!$D$6:$D$91,MATCH('IEPR Gas Prices Nominal'!$B118,'GDP Deflator'!$B$6:$B$91,0)))</f>
        <v>1.4796318386717604</v>
      </c>
      <c r="H118" s="91">
        <f>'IEPR Gas Prices Real'!H120*(INDEX('GDP Deflator'!$D$6:$D$91,MATCH('IEPR Gas Prices Nominal'!$B118,'GDP Deflator'!$B$6:$B$91,0)))</f>
        <v>7.343699907928614</v>
      </c>
      <c r="I118" s="91">
        <f>'IEPR Gas Prices Real'!I120*(INDEX('GDP Deflator'!$D$6:$D$91,MATCH('IEPR Gas Prices Nominal'!$B118,'GDP Deflator'!$B$6:$B$91,0)))</f>
        <v>6.158490935439751</v>
      </c>
      <c r="J118" s="91">
        <f>'IEPR Gas Prices Real'!J120*(INDEX('GDP Deflator'!$D$6:$D$91,MATCH('IEPR Gas Prices Nominal'!$B118,'GDP Deflator'!$B$6:$B$91,0)))</f>
        <v>2.443229993998346</v>
      </c>
      <c r="K118" s="91">
        <f>'IEPR Gas Prices Real'!K120*(INDEX('GDP Deflator'!$D$6:$D$91,MATCH('IEPR Gas Prices Nominal'!$B118,'GDP Deflator'!$B$6:$B$91,0)))</f>
        <v>8.6017209294380965</v>
      </c>
      <c r="L118" s="91">
        <f>'IEPR Gas Prices Real'!L120*(INDEX('GDP Deflator'!$D$6:$D$91,MATCH('IEPR Gas Prices Nominal'!$B118,'GDP Deflator'!$B$6:$B$91,0)))</f>
        <v>6.3811839681908813</v>
      </c>
      <c r="M118" s="91">
        <f>'IEPR Gas Prices Real'!M120*(INDEX('GDP Deflator'!$D$6:$D$91,MATCH('IEPR Gas Prices Nominal'!$B118,'GDP Deflator'!$B$6:$B$91,0)))</f>
        <v>1.1538253508431013</v>
      </c>
      <c r="N118" s="91">
        <f>'IEPR Gas Prices Real'!N120*(INDEX('GDP Deflator'!$D$6:$D$91,MATCH('IEPR Gas Prices Nominal'!$B118,'GDP Deflator'!$B$6:$B$91,0)))</f>
        <v>7.5350093190339829</v>
      </c>
      <c r="O118" s="19"/>
      <c r="P118" s="229">
        <f t="shared" si="12"/>
        <v>6.1345809909624949</v>
      </c>
      <c r="Q118" s="229">
        <f t="shared" si="16"/>
        <v>7.8268100521335642</v>
      </c>
      <c r="R118" s="144"/>
    </row>
    <row r="119" spans="2:18">
      <c r="B119" s="142">
        <f t="shared" si="13"/>
        <v>2031</v>
      </c>
      <c r="C119" s="19">
        <f t="shared" si="14"/>
        <v>6</v>
      </c>
      <c r="D119" s="143">
        <v>48000</v>
      </c>
      <c r="E119" s="19" t="str">
        <f t="shared" si="15"/>
        <v>6-2031</v>
      </c>
      <c r="F119" s="91">
        <f>'IEPR Gas Prices Real'!F121*(INDEX('GDP Deflator'!$D$6:$D$91,MATCH('IEPR Gas Prices Nominal'!$B119,'GDP Deflator'!$B$6:$B$91,0)))</f>
        <v>6.0154916173100412</v>
      </c>
      <c r="G119" s="91">
        <f>'IEPR Gas Prices Real'!G121*(INDEX('GDP Deflator'!$D$6:$D$91,MATCH('IEPR Gas Prices Nominal'!$B119,'GDP Deflator'!$B$6:$B$91,0)))</f>
        <v>1.4796318386717604</v>
      </c>
      <c r="H119" s="91">
        <f>'IEPR Gas Prices Real'!H121*(INDEX('GDP Deflator'!$D$6:$D$91,MATCH('IEPR Gas Prices Nominal'!$B119,'GDP Deflator'!$B$6:$B$91,0)))</f>
        <v>7.4951234559818021</v>
      </c>
      <c r="I119" s="91">
        <f>'IEPR Gas Prices Real'!I121*(INDEX('GDP Deflator'!$D$6:$D$91,MATCH('IEPR Gas Prices Nominal'!$B119,'GDP Deflator'!$B$6:$B$91,0)))</f>
        <v>6.3175382318913851</v>
      </c>
      <c r="J119" s="91">
        <f>'IEPR Gas Prices Real'!J121*(INDEX('GDP Deflator'!$D$6:$D$91,MATCH('IEPR Gas Prices Nominal'!$B119,'GDP Deflator'!$B$6:$B$91,0)))</f>
        <v>2.443229993998346</v>
      </c>
      <c r="K119" s="91">
        <f>'IEPR Gas Prices Real'!K121*(INDEX('GDP Deflator'!$D$6:$D$91,MATCH('IEPR Gas Prices Nominal'!$B119,'GDP Deflator'!$B$6:$B$91,0)))</f>
        <v>8.7607682258897306</v>
      </c>
      <c r="L119" s="91">
        <f>'IEPR Gas Prices Real'!L121*(INDEX('GDP Deflator'!$D$6:$D$91,MATCH('IEPR Gas Prices Nominal'!$B119,'GDP Deflator'!$B$6:$B$91,0)))</f>
        <v>6.5460321506748986</v>
      </c>
      <c r="M119" s="91">
        <f>'IEPR Gas Prices Real'!M121*(INDEX('GDP Deflator'!$D$6:$D$91,MATCH('IEPR Gas Prices Nominal'!$B119,'GDP Deflator'!$B$6:$B$91,0)))</f>
        <v>1.1538253508431013</v>
      </c>
      <c r="N119" s="91">
        <f>'IEPR Gas Prices Real'!N121*(INDEX('GDP Deflator'!$D$6:$D$91,MATCH('IEPR Gas Prices Nominal'!$B119,'GDP Deflator'!$B$6:$B$91,0)))</f>
        <v>7.6998575015180002</v>
      </c>
      <c r="O119" s="19"/>
      <c r="P119" s="229">
        <f t="shared" si="12"/>
        <v>6.2930206666254422</v>
      </c>
      <c r="Q119" s="229">
        <f t="shared" si="16"/>
        <v>7.9852497277965107</v>
      </c>
      <c r="R119" s="144"/>
    </row>
    <row r="120" spans="2:18">
      <c r="B120" s="142">
        <f t="shared" si="13"/>
        <v>2031</v>
      </c>
      <c r="C120" s="19">
        <f t="shared" si="14"/>
        <v>7</v>
      </c>
      <c r="D120" s="143">
        <v>48030</v>
      </c>
      <c r="E120" s="19" t="str">
        <f t="shared" si="15"/>
        <v>7-2031</v>
      </c>
      <c r="F120" s="91">
        <f>'IEPR Gas Prices Real'!F122*(INDEX('GDP Deflator'!$D$6:$D$91,MATCH('IEPR Gas Prices Nominal'!$B120,'GDP Deflator'!$B$6:$B$91,0)))</f>
        <v>6.0630393309134192</v>
      </c>
      <c r="G120" s="91">
        <f>'IEPR Gas Prices Real'!G122*(INDEX('GDP Deflator'!$D$6:$D$91,MATCH('IEPR Gas Prices Nominal'!$B120,'GDP Deflator'!$B$6:$B$91,0)))</f>
        <v>1.4796318386717604</v>
      </c>
      <c r="H120" s="91">
        <f>'IEPR Gas Prices Real'!H122*(INDEX('GDP Deflator'!$D$6:$D$91,MATCH('IEPR Gas Prices Nominal'!$B120,'GDP Deflator'!$B$6:$B$91,0)))</f>
        <v>7.5426711695851791</v>
      </c>
      <c r="I120" s="91">
        <f>'IEPR Gas Prices Real'!I122*(INDEX('GDP Deflator'!$D$6:$D$91,MATCH('IEPR Gas Prices Nominal'!$B120,'GDP Deflator'!$B$6:$B$91,0)))</f>
        <v>6.3674946369399814</v>
      </c>
      <c r="J120" s="91">
        <f>'IEPR Gas Prices Real'!J122*(INDEX('GDP Deflator'!$D$6:$D$91,MATCH('IEPR Gas Prices Nominal'!$B120,'GDP Deflator'!$B$6:$B$91,0)))</f>
        <v>2.443229993998346</v>
      </c>
      <c r="K120" s="91">
        <f>'IEPR Gas Prices Real'!K122*(INDEX('GDP Deflator'!$D$6:$D$91,MATCH('IEPR Gas Prices Nominal'!$B120,'GDP Deflator'!$B$6:$B$91,0)))</f>
        <v>8.8107246309383278</v>
      </c>
      <c r="L120" s="91">
        <f>'IEPR Gas Prices Real'!L122*(INDEX('GDP Deflator'!$D$6:$D$91,MATCH('IEPR Gas Prices Nominal'!$B120,'GDP Deflator'!$B$6:$B$91,0)))</f>
        <v>6.5978454722020894</v>
      </c>
      <c r="M120" s="91">
        <f>'IEPR Gas Prices Real'!M122*(INDEX('GDP Deflator'!$D$6:$D$91,MATCH('IEPR Gas Prices Nominal'!$B120,'GDP Deflator'!$B$6:$B$91,0)))</f>
        <v>1.1538253508431013</v>
      </c>
      <c r="N120" s="91">
        <f>'IEPR Gas Prices Real'!N122*(INDEX('GDP Deflator'!$D$6:$D$91,MATCH('IEPR Gas Prices Nominal'!$B120,'GDP Deflator'!$B$6:$B$91,0)))</f>
        <v>7.751670823045191</v>
      </c>
      <c r="O120" s="19"/>
      <c r="P120" s="229">
        <f t="shared" si="12"/>
        <v>6.342793146685163</v>
      </c>
      <c r="Q120" s="229">
        <f t="shared" si="16"/>
        <v>8.0350222078562332</v>
      </c>
      <c r="R120" s="144"/>
    </row>
    <row r="121" spans="2:18">
      <c r="B121" s="142">
        <f t="shared" si="13"/>
        <v>2031</v>
      </c>
      <c r="C121" s="19">
        <f t="shared" si="14"/>
        <v>8</v>
      </c>
      <c r="D121" s="143">
        <v>48061</v>
      </c>
      <c r="E121" s="19" t="str">
        <f t="shared" si="15"/>
        <v>8-2031</v>
      </c>
      <c r="F121" s="91">
        <f>'IEPR Gas Prices Real'!F123*(INDEX('GDP Deflator'!$D$6:$D$91,MATCH('IEPR Gas Prices Nominal'!$B121,'GDP Deflator'!$B$6:$B$91,0)))</f>
        <v>6.0160335096725426</v>
      </c>
      <c r="G121" s="91">
        <f>'IEPR Gas Prices Real'!G123*(INDEX('GDP Deflator'!$D$6:$D$91,MATCH('IEPR Gas Prices Nominal'!$B121,'GDP Deflator'!$B$6:$B$91,0)))</f>
        <v>1.4796318386717604</v>
      </c>
      <c r="H121" s="91">
        <f>'IEPR Gas Prices Real'!H123*(INDEX('GDP Deflator'!$D$6:$D$91,MATCH('IEPR Gas Prices Nominal'!$B121,'GDP Deflator'!$B$6:$B$91,0)))</f>
        <v>7.4956653483443025</v>
      </c>
      <c r="I121" s="91">
        <f>'IEPR Gas Prices Real'!I123*(INDEX('GDP Deflator'!$D$6:$D$91,MATCH('IEPR Gas Prices Nominal'!$B121,'GDP Deflator'!$B$6:$B$91,0)))</f>
        <v>6.3181495096136508</v>
      </c>
      <c r="J121" s="91">
        <f>'IEPR Gas Prices Real'!J123*(INDEX('GDP Deflator'!$D$6:$D$91,MATCH('IEPR Gas Prices Nominal'!$B121,'GDP Deflator'!$B$6:$B$91,0)))</f>
        <v>2.443229993998346</v>
      </c>
      <c r="K121" s="91">
        <f>'IEPR Gas Prices Real'!K123*(INDEX('GDP Deflator'!$D$6:$D$91,MATCH('IEPR Gas Prices Nominal'!$B121,'GDP Deflator'!$B$6:$B$91,0)))</f>
        <v>8.7613795036119964</v>
      </c>
      <c r="L121" s="91">
        <f>'IEPR Gas Prices Real'!L123*(INDEX('GDP Deflator'!$D$6:$D$91,MATCH('IEPR Gas Prices Nominal'!$B121,'GDP Deflator'!$B$6:$B$91,0)))</f>
        <v>6.5467649351837647</v>
      </c>
      <c r="M121" s="91">
        <f>'IEPR Gas Prices Real'!M123*(INDEX('GDP Deflator'!$D$6:$D$91,MATCH('IEPR Gas Prices Nominal'!$B121,'GDP Deflator'!$B$6:$B$91,0)))</f>
        <v>1.1538253508431013</v>
      </c>
      <c r="N121" s="91">
        <f>'IEPR Gas Prices Real'!N123*(INDEX('GDP Deflator'!$D$6:$D$91,MATCH('IEPR Gas Prices Nominal'!$B121,'GDP Deflator'!$B$6:$B$91,0)))</f>
        <v>7.7005902860268662</v>
      </c>
      <c r="O121" s="19"/>
      <c r="P121" s="229">
        <f t="shared" si="12"/>
        <v>6.2936493181566533</v>
      </c>
      <c r="Q121" s="229">
        <f t="shared" si="16"/>
        <v>7.9858783793277217</v>
      </c>
      <c r="R121" s="144"/>
    </row>
    <row r="122" spans="2:18">
      <c r="B122" s="142">
        <f t="shared" si="13"/>
        <v>2031</v>
      </c>
      <c r="C122" s="19">
        <f t="shared" si="14"/>
        <v>9</v>
      </c>
      <c r="D122" s="143">
        <v>48092</v>
      </c>
      <c r="E122" s="19" t="str">
        <f t="shared" si="15"/>
        <v>9-2031</v>
      </c>
      <c r="F122" s="91">
        <f>'IEPR Gas Prices Real'!F124*(INDEX('GDP Deflator'!$D$6:$D$91,MATCH('IEPR Gas Prices Nominal'!$B122,'GDP Deflator'!$B$6:$B$91,0)))</f>
        <v>6.1004774827750365</v>
      </c>
      <c r="G122" s="91">
        <f>'IEPR Gas Prices Real'!G124*(INDEX('GDP Deflator'!$D$6:$D$91,MATCH('IEPR Gas Prices Nominal'!$B122,'GDP Deflator'!$B$6:$B$91,0)))</f>
        <v>1.4796318386717604</v>
      </c>
      <c r="H122" s="91">
        <f>'IEPR Gas Prices Real'!H124*(INDEX('GDP Deflator'!$D$6:$D$91,MATCH('IEPR Gas Prices Nominal'!$B122,'GDP Deflator'!$B$6:$B$91,0)))</f>
        <v>7.5801093214467965</v>
      </c>
      <c r="I122" s="91">
        <f>'IEPR Gas Prices Real'!I124*(INDEX('GDP Deflator'!$D$6:$D$91,MATCH('IEPR Gas Prices Nominal'!$B122,'GDP Deflator'!$B$6:$B$91,0)))</f>
        <v>6.4068555184892046</v>
      </c>
      <c r="J122" s="91">
        <f>'IEPR Gas Prices Real'!J124*(INDEX('GDP Deflator'!$D$6:$D$91,MATCH('IEPR Gas Prices Nominal'!$B122,'GDP Deflator'!$B$6:$B$91,0)))</f>
        <v>2.443229993998346</v>
      </c>
      <c r="K122" s="91">
        <f>'IEPR Gas Prices Real'!K124*(INDEX('GDP Deflator'!$D$6:$D$91,MATCH('IEPR Gas Prices Nominal'!$B122,'GDP Deflator'!$B$6:$B$91,0)))</f>
        <v>8.850085512487551</v>
      </c>
      <c r="L122" s="91">
        <f>'IEPR Gas Prices Real'!L124*(INDEX('GDP Deflator'!$D$6:$D$91,MATCH('IEPR Gas Prices Nominal'!$B122,'GDP Deflator'!$B$6:$B$91,0)))</f>
        <v>6.6387310822711267</v>
      </c>
      <c r="M122" s="91">
        <f>'IEPR Gas Prices Real'!M124*(INDEX('GDP Deflator'!$D$6:$D$91,MATCH('IEPR Gas Prices Nominal'!$B122,'GDP Deflator'!$B$6:$B$91,0)))</f>
        <v>1.1538253508431013</v>
      </c>
      <c r="N122" s="91">
        <f>'IEPR Gas Prices Real'!N124*(INDEX('GDP Deflator'!$D$6:$D$91,MATCH('IEPR Gas Prices Nominal'!$B122,'GDP Deflator'!$B$6:$B$91,0)))</f>
        <v>7.7925564331142292</v>
      </c>
      <c r="O122" s="19"/>
      <c r="P122" s="229">
        <f t="shared" si="12"/>
        <v>6.382021361178456</v>
      </c>
      <c r="Q122" s="229">
        <f t="shared" si="16"/>
        <v>8.0742504223495253</v>
      </c>
      <c r="R122" s="144"/>
    </row>
    <row r="123" spans="2:18">
      <c r="B123" s="142">
        <f t="shared" si="13"/>
        <v>2031</v>
      </c>
      <c r="C123" s="19">
        <f t="shared" si="14"/>
        <v>10</v>
      </c>
      <c r="D123" s="143">
        <v>48122</v>
      </c>
      <c r="E123" s="19" t="str">
        <f t="shared" si="15"/>
        <v>10-2031</v>
      </c>
      <c r="F123" s="91">
        <f>'IEPR Gas Prices Real'!F125*(INDEX('GDP Deflator'!$D$6:$D$91,MATCH('IEPR Gas Prices Nominal'!$B123,'GDP Deflator'!$B$6:$B$91,0)))</f>
        <v>6.0651476508908848</v>
      </c>
      <c r="G123" s="91">
        <f>'IEPR Gas Prices Real'!G125*(INDEX('GDP Deflator'!$D$6:$D$91,MATCH('IEPR Gas Prices Nominal'!$B123,'GDP Deflator'!$B$6:$B$91,0)))</f>
        <v>1.4796318386717604</v>
      </c>
      <c r="H123" s="91">
        <f>'IEPR Gas Prices Real'!H125*(INDEX('GDP Deflator'!$D$6:$D$91,MATCH('IEPR Gas Prices Nominal'!$B123,'GDP Deflator'!$B$6:$B$91,0)))</f>
        <v>7.5447794895626448</v>
      </c>
      <c r="I123" s="91">
        <f>'IEPR Gas Prices Real'!I125*(INDEX('GDP Deflator'!$D$6:$D$91,MATCH('IEPR Gas Prices Nominal'!$B123,'GDP Deflator'!$B$6:$B$91,0)))</f>
        <v>6.3697726203874767</v>
      </c>
      <c r="J123" s="91">
        <f>'IEPR Gas Prices Real'!J125*(INDEX('GDP Deflator'!$D$6:$D$91,MATCH('IEPR Gas Prices Nominal'!$B123,'GDP Deflator'!$B$6:$B$91,0)))</f>
        <v>2.443229993998346</v>
      </c>
      <c r="K123" s="91">
        <f>'IEPR Gas Prices Real'!K125*(INDEX('GDP Deflator'!$D$6:$D$91,MATCH('IEPR Gas Prices Nominal'!$B123,'GDP Deflator'!$B$6:$B$91,0)))</f>
        <v>8.8130026143858231</v>
      </c>
      <c r="L123" s="91">
        <f>'IEPR Gas Prices Real'!L125*(INDEX('GDP Deflator'!$D$6:$D$91,MATCH('IEPR Gas Prices Nominal'!$B123,'GDP Deflator'!$B$6:$B$91,0)))</f>
        <v>6.6003562097016468</v>
      </c>
      <c r="M123" s="91">
        <f>'IEPR Gas Prices Real'!M125*(INDEX('GDP Deflator'!$D$6:$D$91,MATCH('IEPR Gas Prices Nominal'!$B123,'GDP Deflator'!$B$6:$B$91,0)))</f>
        <v>1.1538253508431013</v>
      </c>
      <c r="N123" s="91">
        <f>'IEPR Gas Prices Real'!N125*(INDEX('GDP Deflator'!$D$6:$D$91,MATCH('IEPR Gas Prices Nominal'!$B123,'GDP Deflator'!$B$6:$B$91,0)))</f>
        <v>7.7541815605447484</v>
      </c>
      <c r="O123" s="19"/>
      <c r="P123" s="229">
        <f t="shared" si="12"/>
        <v>6.3450921603266695</v>
      </c>
      <c r="Q123" s="229">
        <f t="shared" si="16"/>
        <v>8.0373212214977379</v>
      </c>
      <c r="R123" s="144"/>
    </row>
    <row r="124" spans="2:18">
      <c r="B124" s="142">
        <f t="shared" si="13"/>
        <v>2031</v>
      </c>
      <c r="C124" s="19">
        <f t="shared" si="14"/>
        <v>11</v>
      </c>
      <c r="D124" s="143">
        <v>48153</v>
      </c>
      <c r="E124" s="19" t="str">
        <f t="shared" si="15"/>
        <v>11-2031</v>
      </c>
      <c r="F124" s="91">
        <f>'IEPR Gas Prices Real'!F126*(INDEX('GDP Deflator'!$D$6:$D$91,MATCH('IEPR Gas Prices Nominal'!$B124,'GDP Deflator'!$B$6:$B$91,0)))</f>
        <v>6.3647442610355824</v>
      </c>
      <c r="G124" s="91">
        <f>'IEPR Gas Prices Real'!G126*(INDEX('GDP Deflator'!$D$6:$D$91,MATCH('IEPR Gas Prices Nominal'!$B124,'GDP Deflator'!$B$6:$B$91,0)))</f>
        <v>1.4796318386717604</v>
      </c>
      <c r="H124" s="91">
        <f>'IEPR Gas Prices Real'!H126*(INDEX('GDP Deflator'!$D$6:$D$91,MATCH('IEPR Gas Prices Nominal'!$B124,'GDP Deflator'!$B$6:$B$91,0)))</f>
        <v>7.8443760997073424</v>
      </c>
      <c r="I124" s="91">
        <f>'IEPR Gas Prices Real'!I126*(INDEX('GDP Deflator'!$D$6:$D$91,MATCH('IEPR Gas Prices Nominal'!$B124,'GDP Deflator'!$B$6:$B$91,0)))</f>
        <v>6.6844389364201087</v>
      </c>
      <c r="J124" s="91">
        <f>'IEPR Gas Prices Real'!J126*(INDEX('GDP Deflator'!$D$6:$D$91,MATCH('IEPR Gas Prices Nominal'!$B124,'GDP Deflator'!$B$6:$B$91,0)))</f>
        <v>2.443229993998346</v>
      </c>
      <c r="K124" s="91">
        <f>'IEPR Gas Prices Real'!K126*(INDEX('GDP Deflator'!$D$6:$D$91,MATCH('IEPR Gas Prices Nominal'!$B124,'GDP Deflator'!$B$6:$B$91,0)))</f>
        <v>9.1276689304184551</v>
      </c>
      <c r="L124" s="91">
        <f>'IEPR Gas Prices Real'!L126*(INDEX('GDP Deflator'!$D$6:$D$91,MATCH('IEPR Gas Prices Nominal'!$B124,'GDP Deflator'!$B$6:$B$91,0)))</f>
        <v>6.926465943783044</v>
      </c>
      <c r="M124" s="91">
        <f>'IEPR Gas Prices Real'!M126*(INDEX('GDP Deflator'!$D$6:$D$91,MATCH('IEPR Gas Prices Nominal'!$B124,'GDP Deflator'!$B$6:$B$91,0)))</f>
        <v>1.1538253508431013</v>
      </c>
      <c r="N124" s="91">
        <f>'IEPR Gas Prices Real'!N126*(INDEX('GDP Deflator'!$D$6:$D$91,MATCH('IEPR Gas Prices Nominal'!$B124,'GDP Deflator'!$B$6:$B$91,0)))</f>
        <v>8.0802912946261465</v>
      </c>
      <c r="O124" s="19"/>
      <c r="P124" s="229">
        <f t="shared" si="12"/>
        <v>6.6585497137462442</v>
      </c>
      <c r="Q124" s="229">
        <f t="shared" si="16"/>
        <v>8.3507787749173144</v>
      </c>
      <c r="R124" s="144"/>
    </row>
    <row r="125" spans="2:18">
      <c r="B125" s="142">
        <f t="shared" si="13"/>
        <v>2031</v>
      </c>
      <c r="C125" s="19">
        <f t="shared" si="14"/>
        <v>12</v>
      </c>
      <c r="D125" s="143">
        <v>48183</v>
      </c>
      <c r="E125" s="19" t="str">
        <f t="shared" si="15"/>
        <v>12-2031</v>
      </c>
      <c r="F125" s="91">
        <f>'IEPR Gas Prices Real'!F127*(INDEX('GDP Deflator'!$D$6:$D$91,MATCH('IEPR Gas Prices Nominal'!$B125,'GDP Deflator'!$B$6:$B$91,0)))</f>
        <v>6.4157529219883944</v>
      </c>
      <c r="G125" s="91">
        <f>'IEPR Gas Prices Real'!G127*(INDEX('GDP Deflator'!$D$6:$D$91,MATCH('IEPR Gas Prices Nominal'!$B125,'GDP Deflator'!$B$6:$B$91,0)))</f>
        <v>1.4796318386717604</v>
      </c>
      <c r="H125" s="91">
        <f>'IEPR Gas Prices Real'!H127*(INDEX('GDP Deflator'!$D$6:$D$91,MATCH('IEPR Gas Prices Nominal'!$B125,'GDP Deflator'!$B$6:$B$91,0)))</f>
        <v>7.8953847606601544</v>
      </c>
      <c r="I125" s="91">
        <f>'IEPR Gas Prices Real'!I127*(INDEX('GDP Deflator'!$D$6:$D$91,MATCH('IEPR Gas Prices Nominal'!$B125,'GDP Deflator'!$B$6:$B$91,0)))</f>
        <v>6.7380322144409375</v>
      </c>
      <c r="J125" s="91">
        <f>'IEPR Gas Prices Real'!J127*(INDEX('GDP Deflator'!$D$6:$D$91,MATCH('IEPR Gas Prices Nominal'!$B125,'GDP Deflator'!$B$6:$B$91,0)))</f>
        <v>2.443229993998346</v>
      </c>
      <c r="K125" s="91">
        <f>'IEPR Gas Prices Real'!K127*(INDEX('GDP Deflator'!$D$6:$D$91,MATCH('IEPR Gas Prices Nominal'!$B125,'GDP Deflator'!$B$6:$B$91,0)))</f>
        <v>9.1812622084392839</v>
      </c>
      <c r="L125" s="91">
        <f>'IEPR Gas Prices Real'!L127*(INDEX('GDP Deflator'!$D$6:$D$91,MATCH('IEPR Gas Prices Nominal'!$B125,'GDP Deflator'!$B$6:$B$91,0)))</f>
        <v>6.9820527358976143</v>
      </c>
      <c r="M125" s="91">
        <f>'IEPR Gas Prices Real'!M127*(INDEX('GDP Deflator'!$D$6:$D$91,MATCH('IEPR Gas Prices Nominal'!$B125,'GDP Deflator'!$B$6:$B$91,0)))</f>
        <v>1.1538253508431013</v>
      </c>
      <c r="N125" s="91">
        <f>'IEPR Gas Prices Real'!N127*(INDEX('GDP Deflator'!$D$6:$D$91,MATCH('IEPR Gas Prices Nominal'!$B125,'GDP Deflator'!$B$6:$B$91,0)))</f>
        <v>8.1358780867407159</v>
      </c>
      <c r="O125" s="19"/>
      <c r="P125" s="229">
        <f t="shared" si="12"/>
        <v>6.7119459574423148</v>
      </c>
      <c r="Q125" s="229">
        <f t="shared" si="16"/>
        <v>8.404175018613385</v>
      </c>
      <c r="R125" s="144"/>
    </row>
    <row r="126" spans="2:18">
      <c r="B126" s="142">
        <f t="shared" si="13"/>
        <v>2032</v>
      </c>
      <c r="C126" s="19">
        <f t="shared" si="14"/>
        <v>1</v>
      </c>
      <c r="D126" s="143">
        <v>48214</v>
      </c>
      <c r="E126" s="19" t="str">
        <f t="shared" si="15"/>
        <v>1-2032</v>
      </c>
      <c r="F126" s="91">
        <f>'IEPR Gas Prices Real'!F128*(INDEX('GDP Deflator'!$D$6:$D$91,MATCH('IEPR Gas Prices Nominal'!$B126,'GDP Deflator'!$B$6:$B$91,0)))</f>
        <v>6.5523061838934815</v>
      </c>
      <c r="G126" s="91">
        <f>'IEPR Gas Prices Real'!G128*(INDEX('GDP Deflator'!$D$6:$D$91,MATCH('IEPR Gas Prices Nominal'!$B126,'GDP Deflator'!$B$6:$B$91,0)))</f>
        <v>1.5715076764645144</v>
      </c>
      <c r="H126" s="91">
        <f>'IEPR Gas Prices Real'!H128*(INDEX('GDP Deflator'!$D$6:$D$91,MATCH('IEPR Gas Prices Nominal'!$B126,'GDP Deflator'!$B$6:$B$91,0)))</f>
        <v>8.1238138603579966</v>
      </c>
      <c r="I126" s="91">
        <f>'IEPR Gas Prices Real'!I128*(INDEX('GDP Deflator'!$D$6:$D$91,MATCH('IEPR Gas Prices Nominal'!$B126,'GDP Deflator'!$B$6:$B$91,0)))</f>
        <v>6.8814802756537814</v>
      </c>
      <c r="J126" s="91">
        <f>'IEPR Gas Prices Real'!J128*(INDEX('GDP Deflator'!$D$6:$D$91,MATCH('IEPR Gas Prices Nominal'!$B126,'GDP Deflator'!$B$6:$B$91,0)))</f>
        <v>2.5949392210858684</v>
      </c>
      <c r="K126" s="91">
        <f>'IEPR Gas Prices Real'!K128*(INDEX('GDP Deflator'!$D$6:$D$91,MATCH('IEPR Gas Prices Nominal'!$B126,'GDP Deflator'!$B$6:$B$91,0)))</f>
        <v>9.4764194967396502</v>
      </c>
      <c r="L126" s="91">
        <f>'IEPR Gas Prices Real'!L128*(INDEX('GDP Deflator'!$D$6:$D$91,MATCH('IEPR Gas Prices Nominal'!$B126,'GDP Deflator'!$B$6:$B$91,0)))</f>
        <v>7.1309403883444533</v>
      </c>
      <c r="M126" s="91">
        <f>'IEPR Gas Prices Real'!M128*(INDEX('GDP Deflator'!$D$6:$D$91,MATCH('IEPR Gas Prices Nominal'!$B126,'GDP Deflator'!$B$6:$B$91,0)))</f>
        <v>1.2254706534140372</v>
      </c>
      <c r="N126" s="91">
        <f>'IEPR Gas Prices Real'!N128*(INDEX('GDP Deflator'!$D$6:$D$91,MATCH('IEPR Gas Prices Nominal'!$B126,'GDP Deflator'!$B$6:$B$91,0)))</f>
        <v>8.3564110417584896</v>
      </c>
      <c r="O126" s="19"/>
      <c r="P126" s="229">
        <f t="shared" si="12"/>
        <v>6.854908949297239</v>
      </c>
      <c r="Q126" s="229">
        <f t="shared" si="16"/>
        <v>8.6522147996187115</v>
      </c>
      <c r="R126" s="144"/>
    </row>
    <row r="127" spans="2:18">
      <c r="B127" s="142">
        <f t="shared" si="13"/>
        <v>2032</v>
      </c>
      <c r="C127" s="19">
        <f t="shared" si="14"/>
        <v>2</v>
      </c>
      <c r="D127" s="143">
        <v>48245</v>
      </c>
      <c r="E127" s="19" t="str">
        <f t="shared" si="15"/>
        <v>2-2032</v>
      </c>
      <c r="F127" s="91">
        <f>'IEPR Gas Prices Real'!F129*(INDEX('GDP Deflator'!$D$6:$D$91,MATCH('IEPR Gas Prices Nominal'!$B127,'GDP Deflator'!$B$6:$B$91,0)))</f>
        <v>6.4085238810643359</v>
      </c>
      <c r="G127" s="91">
        <f>'IEPR Gas Prices Real'!G129*(INDEX('GDP Deflator'!$D$6:$D$91,MATCH('IEPR Gas Prices Nominal'!$B127,'GDP Deflator'!$B$6:$B$91,0)))</f>
        <v>1.5715076764645144</v>
      </c>
      <c r="H127" s="91">
        <f>'IEPR Gas Prices Real'!H129*(INDEX('GDP Deflator'!$D$6:$D$91,MATCH('IEPR Gas Prices Nominal'!$B127,'GDP Deflator'!$B$6:$B$91,0)))</f>
        <v>7.980031557528851</v>
      </c>
      <c r="I127" s="91">
        <f>'IEPR Gas Prices Real'!I129*(INDEX('GDP Deflator'!$D$6:$D$91,MATCH('IEPR Gas Prices Nominal'!$B127,'GDP Deflator'!$B$6:$B$91,0)))</f>
        <v>6.7305092677052016</v>
      </c>
      <c r="J127" s="91">
        <f>'IEPR Gas Prices Real'!J129*(INDEX('GDP Deflator'!$D$6:$D$91,MATCH('IEPR Gas Prices Nominal'!$B127,'GDP Deflator'!$B$6:$B$91,0)))</f>
        <v>2.5949392210858684</v>
      </c>
      <c r="K127" s="91">
        <f>'IEPR Gas Prices Real'!K129*(INDEX('GDP Deflator'!$D$6:$D$91,MATCH('IEPR Gas Prices Nominal'!$B127,'GDP Deflator'!$B$6:$B$91,0)))</f>
        <v>9.3254484887910696</v>
      </c>
      <c r="L127" s="91">
        <f>'IEPR Gas Prices Real'!L129*(INDEX('GDP Deflator'!$D$6:$D$91,MATCH('IEPR Gas Prices Nominal'!$B127,'GDP Deflator'!$B$6:$B$91,0)))</f>
        <v>6.9747357635691731</v>
      </c>
      <c r="M127" s="91">
        <f>'IEPR Gas Prices Real'!M129*(INDEX('GDP Deflator'!$D$6:$D$91,MATCH('IEPR Gas Prices Nominal'!$B127,'GDP Deflator'!$B$6:$B$91,0)))</f>
        <v>1.2254706534140372</v>
      </c>
      <c r="N127" s="91">
        <f>'IEPR Gas Prices Real'!N129*(INDEX('GDP Deflator'!$D$6:$D$91,MATCH('IEPR Gas Prices Nominal'!$B127,'GDP Deflator'!$B$6:$B$91,0)))</f>
        <v>8.2002064169832103</v>
      </c>
      <c r="O127" s="19"/>
      <c r="P127" s="229">
        <f t="shared" si="12"/>
        <v>6.7045896374462375</v>
      </c>
      <c r="Q127" s="229">
        <f t="shared" si="16"/>
        <v>8.50189548776771</v>
      </c>
      <c r="R127" s="144"/>
    </row>
    <row r="128" spans="2:18">
      <c r="B128" s="142">
        <f t="shared" si="13"/>
        <v>2032</v>
      </c>
      <c r="C128" s="19">
        <f t="shared" si="14"/>
        <v>3</v>
      </c>
      <c r="D128" s="143">
        <v>48274</v>
      </c>
      <c r="E128" s="19" t="str">
        <f t="shared" si="15"/>
        <v>3-2032</v>
      </c>
      <c r="F128" s="91">
        <f>'IEPR Gas Prices Real'!F130*(INDEX('GDP Deflator'!$D$6:$D$91,MATCH('IEPR Gas Prices Nominal'!$B128,'GDP Deflator'!$B$6:$B$91,0)))</f>
        <v>5.8829289621461403</v>
      </c>
      <c r="G128" s="91">
        <f>'IEPR Gas Prices Real'!G130*(INDEX('GDP Deflator'!$D$6:$D$91,MATCH('IEPR Gas Prices Nominal'!$B128,'GDP Deflator'!$B$6:$B$91,0)))</f>
        <v>1.5715076764645144</v>
      </c>
      <c r="H128" s="91">
        <f>'IEPR Gas Prices Real'!H130*(INDEX('GDP Deflator'!$D$6:$D$91,MATCH('IEPR Gas Prices Nominal'!$B128,'GDP Deflator'!$B$6:$B$91,0)))</f>
        <v>7.4544366386106553</v>
      </c>
      <c r="I128" s="91">
        <f>'IEPR Gas Prices Real'!I130*(INDEX('GDP Deflator'!$D$6:$D$91,MATCH('IEPR Gas Prices Nominal'!$B128,'GDP Deflator'!$B$6:$B$91,0)))</f>
        <v>6.178538506158751</v>
      </c>
      <c r="J128" s="91">
        <f>'IEPR Gas Prices Real'!J130*(INDEX('GDP Deflator'!$D$6:$D$91,MATCH('IEPR Gas Prices Nominal'!$B128,'GDP Deflator'!$B$6:$B$91,0)))</f>
        <v>2.5949392210858684</v>
      </c>
      <c r="K128" s="91">
        <f>'IEPR Gas Prices Real'!K130*(INDEX('GDP Deflator'!$D$6:$D$91,MATCH('IEPR Gas Prices Nominal'!$B128,'GDP Deflator'!$B$6:$B$91,0)))</f>
        <v>8.7734777272446198</v>
      </c>
      <c r="L128" s="91">
        <f>'IEPR Gas Prices Real'!L130*(INDEX('GDP Deflator'!$D$6:$D$91,MATCH('IEPR Gas Prices Nominal'!$B128,'GDP Deflator'!$B$6:$B$91,0)))</f>
        <v>6.4029555549604646</v>
      </c>
      <c r="M128" s="91">
        <f>'IEPR Gas Prices Real'!M130*(INDEX('GDP Deflator'!$D$6:$D$91,MATCH('IEPR Gas Prices Nominal'!$B128,'GDP Deflator'!$B$6:$B$91,0)))</f>
        <v>1.2254706534140372</v>
      </c>
      <c r="N128" s="91">
        <f>'IEPR Gas Prices Real'!N130*(INDEX('GDP Deflator'!$D$6:$D$91,MATCH('IEPR Gas Prices Nominal'!$B128,'GDP Deflator'!$B$6:$B$91,0)))</f>
        <v>7.6284262083745009</v>
      </c>
      <c r="O128" s="19"/>
      <c r="P128" s="229">
        <f t="shared" si="12"/>
        <v>6.154807674421785</v>
      </c>
      <c r="Q128" s="229">
        <f t="shared" si="16"/>
        <v>7.9521135247432584</v>
      </c>
      <c r="R128" s="144"/>
    </row>
    <row r="129" spans="2:18">
      <c r="B129" s="142">
        <f t="shared" si="13"/>
        <v>2032</v>
      </c>
      <c r="C129" s="19">
        <f t="shared" si="14"/>
        <v>4</v>
      </c>
      <c r="D129" s="143">
        <v>48305</v>
      </c>
      <c r="E129" s="19" t="str">
        <f t="shared" si="15"/>
        <v>4-2032</v>
      </c>
      <c r="F129" s="91">
        <f>'IEPR Gas Prices Real'!F131*(INDEX('GDP Deflator'!$D$6:$D$91,MATCH('IEPR Gas Prices Nominal'!$B129,'GDP Deflator'!$B$6:$B$91,0)))</f>
        <v>5.7827171131424562</v>
      </c>
      <c r="G129" s="91">
        <f>'IEPR Gas Prices Real'!G131*(INDEX('GDP Deflator'!$D$6:$D$91,MATCH('IEPR Gas Prices Nominal'!$B129,'GDP Deflator'!$B$6:$B$91,0)))</f>
        <v>1.5715076764645144</v>
      </c>
      <c r="H129" s="91">
        <f>'IEPR Gas Prices Real'!H131*(INDEX('GDP Deflator'!$D$6:$D$91,MATCH('IEPR Gas Prices Nominal'!$B129,'GDP Deflator'!$B$6:$B$91,0)))</f>
        <v>7.3542247896069712</v>
      </c>
      <c r="I129" s="91">
        <f>'IEPR Gas Prices Real'!I131*(INDEX('GDP Deflator'!$D$6:$D$91,MATCH('IEPR Gas Prices Nominal'!$B129,'GDP Deflator'!$B$6:$B$91,0)))</f>
        <v>6.0733223847200533</v>
      </c>
      <c r="J129" s="91">
        <f>'IEPR Gas Prices Real'!J131*(INDEX('GDP Deflator'!$D$6:$D$91,MATCH('IEPR Gas Prices Nominal'!$B129,'GDP Deflator'!$B$6:$B$91,0)))</f>
        <v>2.5949392210858684</v>
      </c>
      <c r="K129" s="91">
        <f>'IEPR Gas Prices Real'!K131*(INDEX('GDP Deflator'!$D$6:$D$91,MATCH('IEPR Gas Prices Nominal'!$B129,'GDP Deflator'!$B$6:$B$91,0)))</f>
        <v>8.6682616058059221</v>
      </c>
      <c r="L129" s="91">
        <f>'IEPR Gas Prices Real'!L131*(INDEX('GDP Deflator'!$D$6:$D$91,MATCH('IEPR Gas Prices Nominal'!$B129,'GDP Deflator'!$B$6:$B$91,0)))</f>
        <v>6.2941336839381954</v>
      </c>
      <c r="M129" s="91">
        <f>'IEPR Gas Prices Real'!M131*(INDEX('GDP Deflator'!$D$6:$D$91,MATCH('IEPR Gas Prices Nominal'!$B129,'GDP Deflator'!$B$6:$B$91,0)))</f>
        <v>1.2254706534140372</v>
      </c>
      <c r="N129" s="91">
        <f>'IEPR Gas Prices Real'!N131*(INDEX('GDP Deflator'!$D$6:$D$91,MATCH('IEPR Gas Prices Nominal'!$B129,'GDP Deflator'!$B$6:$B$91,0)))</f>
        <v>7.5196043373522317</v>
      </c>
      <c r="O129" s="19"/>
      <c r="P129" s="229">
        <f t="shared" si="12"/>
        <v>6.0500577272669007</v>
      </c>
      <c r="Q129" s="229">
        <f t="shared" si="16"/>
        <v>7.847363577588375</v>
      </c>
      <c r="R129" s="144"/>
    </row>
    <row r="130" spans="2:18">
      <c r="B130" s="142">
        <f t="shared" si="13"/>
        <v>2032</v>
      </c>
      <c r="C130" s="19">
        <f t="shared" si="14"/>
        <v>5</v>
      </c>
      <c r="D130" s="143">
        <v>48335</v>
      </c>
      <c r="E130" s="19" t="str">
        <f t="shared" si="15"/>
        <v>5-2032</v>
      </c>
      <c r="F130" s="91">
        <f>'IEPR Gas Prices Real'!F132*(INDEX('GDP Deflator'!$D$6:$D$91,MATCH('IEPR Gas Prices Nominal'!$B130,'GDP Deflator'!$B$6:$B$91,0)))</f>
        <v>5.9838576950159421</v>
      </c>
      <c r="G130" s="91">
        <f>'IEPR Gas Prices Real'!G132*(INDEX('GDP Deflator'!$D$6:$D$91,MATCH('IEPR Gas Prices Nominal'!$B130,'GDP Deflator'!$B$6:$B$91,0)))</f>
        <v>1.5715076764645144</v>
      </c>
      <c r="H130" s="91">
        <f>'IEPR Gas Prices Real'!H132*(INDEX('GDP Deflator'!$D$6:$D$91,MATCH('IEPR Gas Prices Nominal'!$B130,'GDP Deflator'!$B$6:$B$91,0)))</f>
        <v>7.5553653714804572</v>
      </c>
      <c r="I130" s="91">
        <f>'IEPR Gas Prices Real'!I132*(INDEX('GDP Deflator'!$D$6:$D$91,MATCH('IEPR Gas Prices Nominal'!$B130,'GDP Deflator'!$B$6:$B$91,0)))</f>
        <v>6.2846034400191986</v>
      </c>
      <c r="J130" s="91">
        <f>'IEPR Gas Prices Real'!J132*(INDEX('GDP Deflator'!$D$6:$D$91,MATCH('IEPR Gas Prices Nominal'!$B130,'GDP Deflator'!$B$6:$B$91,0)))</f>
        <v>2.5949392210858684</v>
      </c>
      <c r="K130" s="91">
        <f>'IEPR Gas Prices Real'!K132*(INDEX('GDP Deflator'!$D$6:$D$91,MATCH('IEPR Gas Prices Nominal'!$B130,'GDP Deflator'!$B$6:$B$91,0)))</f>
        <v>8.8795426611050665</v>
      </c>
      <c r="L130" s="91">
        <f>'IEPR Gas Prices Real'!L132*(INDEX('GDP Deflator'!$D$6:$D$91,MATCH('IEPR Gas Prices Nominal'!$B130,'GDP Deflator'!$B$6:$B$91,0)))</f>
        <v>6.5133198564071995</v>
      </c>
      <c r="M130" s="91">
        <f>'IEPR Gas Prices Real'!M132*(INDEX('GDP Deflator'!$D$6:$D$91,MATCH('IEPR Gas Prices Nominal'!$B130,'GDP Deflator'!$B$6:$B$91,0)))</f>
        <v>1.2254706534140372</v>
      </c>
      <c r="N130" s="91">
        <f>'IEPR Gas Prices Real'!N132*(INDEX('GDP Deflator'!$D$6:$D$91,MATCH('IEPR Gas Prices Nominal'!$B130,'GDP Deflator'!$B$6:$B$91,0)))</f>
        <v>7.7387905098212366</v>
      </c>
      <c r="O130" s="19"/>
      <c r="P130" s="229">
        <f t="shared" si="12"/>
        <v>6.2605936638141131</v>
      </c>
      <c r="Q130" s="229">
        <f t="shared" si="16"/>
        <v>8.0578995141355865</v>
      </c>
      <c r="R130" s="144"/>
    </row>
    <row r="131" spans="2:18">
      <c r="B131" s="142">
        <f t="shared" si="13"/>
        <v>2032</v>
      </c>
      <c r="C131" s="19">
        <f t="shared" si="14"/>
        <v>6</v>
      </c>
      <c r="D131" s="143">
        <v>48366</v>
      </c>
      <c r="E131" s="19" t="str">
        <f t="shared" si="15"/>
        <v>6-2032</v>
      </c>
      <c r="F131" s="91">
        <f>'IEPR Gas Prices Real'!F133*(INDEX('GDP Deflator'!$D$6:$D$91,MATCH('IEPR Gas Prices Nominal'!$B131,'GDP Deflator'!$B$6:$B$91,0)))</f>
        <v>6.1384355597487383</v>
      </c>
      <c r="G131" s="91">
        <f>'IEPR Gas Prices Real'!G133*(INDEX('GDP Deflator'!$D$6:$D$91,MATCH('IEPR Gas Prices Nominal'!$B131,'GDP Deflator'!$B$6:$B$91,0)))</f>
        <v>1.5715076764645144</v>
      </c>
      <c r="H131" s="91">
        <f>'IEPR Gas Prices Real'!H133*(INDEX('GDP Deflator'!$D$6:$D$91,MATCH('IEPR Gas Prices Nominal'!$B131,'GDP Deflator'!$B$6:$B$91,0)))</f>
        <v>7.7099432362132525</v>
      </c>
      <c r="I131" s="91">
        <f>'IEPR Gas Prices Real'!I133*(INDEX('GDP Deflator'!$D$6:$D$91,MATCH('IEPR Gas Prices Nominal'!$B131,'GDP Deflator'!$B$6:$B$91,0)))</f>
        <v>6.4469834850591896</v>
      </c>
      <c r="J131" s="91">
        <f>'IEPR Gas Prices Real'!J133*(INDEX('GDP Deflator'!$D$6:$D$91,MATCH('IEPR Gas Prices Nominal'!$B131,'GDP Deflator'!$B$6:$B$91,0)))</f>
        <v>2.5949392210858684</v>
      </c>
      <c r="K131" s="91">
        <f>'IEPR Gas Prices Real'!K133*(INDEX('GDP Deflator'!$D$6:$D$91,MATCH('IEPR Gas Prices Nominal'!$B131,'GDP Deflator'!$B$6:$B$91,0)))</f>
        <v>9.0419227061450567</v>
      </c>
      <c r="L131" s="91">
        <f>'IEPR Gas Prices Real'!L133*(INDEX('GDP Deflator'!$D$6:$D$91,MATCH('IEPR Gas Prices Nominal'!$B131,'GDP Deflator'!$B$6:$B$91,0)))</f>
        <v>6.6818386686581182</v>
      </c>
      <c r="M131" s="91">
        <f>'IEPR Gas Prices Real'!M133*(INDEX('GDP Deflator'!$D$6:$D$91,MATCH('IEPR Gas Prices Nominal'!$B131,'GDP Deflator'!$B$6:$B$91,0)))</f>
        <v>1.2254706534140372</v>
      </c>
      <c r="N131" s="91">
        <f>'IEPR Gas Prices Real'!N133*(INDEX('GDP Deflator'!$D$6:$D$91,MATCH('IEPR Gas Prices Nominal'!$B131,'GDP Deflator'!$B$6:$B$91,0)))</f>
        <v>7.9073093220721553</v>
      </c>
      <c r="O131" s="19"/>
      <c r="P131" s="229">
        <f t="shared" si="12"/>
        <v>6.4224192378220151</v>
      </c>
      <c r="Q131" s="229">
        <f t="shared" si="16"/>
        <v>8.2197250881434876</v>
      </c>
      <c r="R131" s="144"/>
    </row>
    <row r="132" spans="2:18">
      <c r="B132" s="142">
        <f t="shared" si="13"/>
        <v>2032</v>
      </c>
      <c r="C132" s="19">
        <f t="shared" si="14"/>
        <v>7</v>
      </c>
      <c r="D132" s="143">
        <v>48396</v>
      </c>
      <c r="E132" s="19" t="str">
        <f t="shared" si="15"/>
        <v>7-2032</v>
      </c>
      <c r="F132" s="91">
        <f>'IEPR Gas Prices Real'!F134*(INDEX('GDP Deflator'!$D$6:$D$91,MATCH('IEPR Gas Prices Nominal'!$B132,'GDP Deflator'!$B$6:$B$91,0)))</f>
        <v>6.1870166163014844</v>
      </c>
      <c r="G132" s="91">
        <f>'IEPR Gas Prices Real'!G134*(INDEX('GDP Deflator'!$D$6:$D$91,MATCH('IEPR Gas Prices Nominal'!$B132,'GDP Deflator'!$B$6:$B$91,0)))</f>
        <v>1.5715076764645144</v>
      </c>
      <c r="H132" s="91">
        <f>'IEPR Gas Prices Real'!H134*(INDEX('GDP Deflator'!$D$6:$D$91,MATCH('IEPR Gas Prices Nominal'!$B132,'GDP Deflator'!$B$6:$B$91,0)))</f>
        <v>7.7585242927659994</v>
      </c>
      <c r="I132" s="91">
        <f>'IEPR Gas Prices Real'!I134*(INDEX('GDP Deflator'!$D$6:$D$91,MATCH('IEPR Gas Prices Nominal'!$B132,'GDP Deflator'!$B$6:$B$91,0)))</f>
        <v>6.4980399036105601</v>
      </c>
      <c r="J132" s="91">
        <f>'IEPR Gas Prices Real'!J134*(INDEX('GDP Deflator'!$D$6:$D$91,MATCH('IEPR Gas Prices Nominal'!$B132,'GDP Deflator'!$B$6:$B$91,0)))</f>
        <v>2.5949392210858684</v>
      </c>
      <c r="K132" s="91">
        <f>'IEPR Gas Prices Real'!K134*(INDEX('GDP Deflator'!$D$6:$D$91,MATCH('IEPR Gas Prices Nominal'!$B132,'GDP Deflator'!$B$6:$B$91,0)))</f>
        <v>9.0929791246964289</v>
      </c>
      <c r="L132" s="91">
        <f>'IEPR Gas Prices Real'!L134*(INDEX('GDP Deflator'!$D$6:$D$91,MATCH('IEPR Gas Prices Nominal'!$B132,'GDP Deflator'!$B$6:$B$91,0)))</f>
        <v>6.7349860955065806</v>
      </c>
      <c r="M132" s="91">
        <f>'IEPR Gas Prices Real'!M134*(INDEX('GDP Deflator'!$D$6:$D$91,MATCH('IEPR Gas Prices Nominal'!$B132,'GDP Deflator'!$B$6:$B$91,0)))</f>
        <v>1.2254706534140372</v>
      </c>
      <c r="N132" s="91">
        <f>'IEPR Gas Prices Real'!N134*(INDEX('GDP Deflator'!$D$6:$D$91,MATCH('IEPR Gas Prices Nominal'!$B132,'GDP Deflator'!$B$6:$B$91,0)))</f>
        <v>7.9604567489206177</v>
      </c>
      <c r="O132" s="19"/>
      <c r="P132" s="229">
        <f t="shared" si="12"/>
        <v>6.4733475384728756</v>
      </c>
      <c r="Q132" s="229">
        <f t="shared" si="16"/>
        <v>8.270653388794349</v>
      </c>
      <c r="R132" s="144"/>
    </row>
    <row r="133" spans="2:18">
      <c r="B133" s="142">
        <f t="shared" si="13"/>
        <v>2032</v>
      </c>
      <c r="C133" s="19">
        <f t="shared" si="14"/>
        <v>8</v>
      </c>
      <c r="D133" s="143">
        <v>48427</v>
      </c>
      <c r="E133" s="19" t="str">
        <f t="shared" si="15"/>
        <v>8-2032</v>
      </c>
      <c r="F133" s="91">
        <f>'IEPR Gas Prices Real'!F135*(INDEX('GDP Deflator'!$D$6:$D$91,MATCH('IEPR Gas Prices Nominal'!$B133,'GDP Deflator'!$B$6:$B$91,0)))</f>
        <v>6.1391107174705004</v>
      </c>
      <c r="G133" s="91">
        <f>'IEPR Gas Prices Real'!G135*(INDEX('GDP Deflator'!$D$6:$D$91,MATCH('IEPR Gas Prices Nominal'!$B133,'GDP Deflator'!$B$6:$B$91,0)))</f>
        <v>1.5715076764645144</v>
      </c>
      <c r="H133" s="91">
        <f>'IEPR Gas Prices Real'!H135*(INDEX('GDP Deflator'!$D$6:$D$91,MATCH('IEPR Gas Prices Nominal'!$B133,'GDP Deflator'!$B$6:$B$91,0)))</f>
        <v>7.7106183939350146</v>
      </c>
      <c r="I133" s="91">
        <f>'IEPR Gas Prices Real'!I135*(INDEX('GDP Deflator'!$D$6:$D$91,MATCH('IEPR Gas Prices Nominal'!$B133,'GDP Deflator'!$B$6:$B$91,0)))</f>
        <v>6.4477589446193182</v>
      </c>
      <c r="J133" s="91">
        <f>'IEPR Gas Prices Real'!J135*(INDEX('GDP Deflator'!$D$6:$D$91,MATCH('IEPR Gas Prices Nominal'!$B133,'GDP Deflator'!$B$6:$B$91,0)))</f>
        <v>2.5949392210858684</v>
      </c>
      <c r="K133" s="91">
        <f>'IEPR Gas Prices Real'!K135*(INDEX('GDP Deflator'!$D$6:$D$91,MATCH('IEPR Gas Prices Nominal'!$B133,'GDP Deflator'!$B$6:$B$91,0)))</f>
        <v>9.0426981657051861</v>
      </c>
      <c r="L133" s="91">
        <f>'IEPR Gas Prices Real'!L135*(INDEX('GDP Deflator'!$D$6:$D$91,MATCH('IEPR Gas Prices Nominal'!$B133,'GDP Deflator'!$B$6:$B$91,0)))</f>
        <v>6.6831010058288642</v>
      </c>
      <c r="M133" s="91">
        <f>'IEPR Gas Prices Real'!M135*(INDEX('GDP Deflator'!$D$6:$D$91,MATCH('IEPR Gas Prices Nominal'!$B133,'GDP Deflator'!$B$6:$B$91,0)))</f>
        <v>1.2254706534140372</v>
      </c>
      <c r="N133" s="91">
        <f>'IEPR Gas Prices Real'!N135*(INDEX('GDP Deflator'!$D$6:$D$91,MATCH('IEPR Gas Prices Nominal'!$B133,'GDP Deflator'!$B$6:$B$91,0)))</f>
        <v>7.9085716592429005</v>
      </c>
      <c r="O133" s="19"/>
      <c r="P133" s="229">
        <f t="shared" si="12"/>
        <v>6.4233235559728934</v>
      </c>
      <c r="Q133" s="229">
        <f t="shared" si="16"/>
        <v>8.2206294062943659</v>
      </c>
      <c r="R133" s="144"/>
    </row>
    <row r="134" spans="2:18">
      <c r="B134" s="142">
        <f t="shared" si="13"/>
        <v>2032</v>
      </c>
      <c r="C134" s="19">
        <f t="shared" si="14"/>
        <v>9</v>
      </c>
      <c r="D134" s="143">
        <v>48458</v>
      </c>
      <c r="E134" s="19" t="str">
        <f t="shared" si="15"/>
        <v>9-2032</v>
      </c>
      <c r="F134" s="91">
        <f>'IEPR Gas Prices Real'!F136*(INDEX('GDP Deflator'!$D$6:$D$91,MATCH('IEPR Gas Prices Nominal'!$B134,'GDP Deflator'!$B$6:$B$91,0)))</f>
        <v>6.2253442279673861</v>
      </c>
      <c r="G134" s="91">
        <f>'IEPR Gas Prices Real'!G136*(INDEX('GDP Deflator'!$D$6:$D$91,MATCH('IEPR Gas Prices Nominal'!$B134,'GDP Deflator'!$B$6:$B$91,0)))</f>
        <v>1.5715076764645144</v>
      </c>
      <c r="H134" s="91">
        <f>'IEPR Gas Prices Real'!H136*(INDEX('GDP Deflator'!$D$6:$D$91,MATCH('IEPR Gas Prices Nominal'!$B134,'GDP Deflator'!$B$6:$B$91,0)))</f>
        <v>7.7968519044319002</v>
      </c>
      <c r="I134" s="91">
        <f>'IEPR Gas Prices Real'!I136*(INDEX('GDP Deflator'!$D$6:$D$91,MATCH('IEPR Gas Prices Nominal'!$B134,'GDP Deflator'!$B$6:$B$91,0)))</f>
        <v>6.5383615619543285</v>
      </c>
      <c r="J134" s="91">
        <f>'IEPR Gas Prices Real'!J136*(INDEX('GDP Deflator'!$D$6:$D$91,MATCH('IEPR Gas Prices Nominal'!$B134,'GDP Deflator'!$B$6:$B$91,0)))</f>
        <v>2.5949392210858684</v>
      </c>
      <c r="K134" s="91">
        <f>'IEPR Gas Prices Real'!K136*(INDEX('GDP Deflator'!$D$6:$D$91,MATCH('IEPR Gas Prices Nominal'!$B134,'GDP Deflator'!$B$6:$B$91,0)))</f>
        <v>9.1333007830401964</v>
      </c>
      <c r="L134" s="91">
        <f>'IEPR Gas Prices Real'!L136*(INDEX('GDP Deflator'!$D$6:$D$91,MATCH('IEPR Gas Prices Nominal'!$B134,'GDP Deflator'!$B$6:$B$91,0)))</f>
        <v>6.7772431781167279</v>
      </c>
      <c r="M134" s="91">
        <f>'IEPR Gas Prices Real'!M136*(INDEX('GDP Deflator'!$D$6:$D$91,MATCH('IEPR Gas Prices Nominal'!$B134,'GDP Deflator'!$B$6:$B$91,0)))</f>
        <v>1.2254706534140372</v>
      </c>
      <c r="N134" s="91">
        <f>'IEPR Gas Prices Real'!N136*(INDEX('GDP Deflator'!$D$6:$D$91,MATCH('IEPR Gas Prices Nominal'!$B134,'GDP Deflator'!$B$6:$B$91,0)))</f>
        <v>8.0027138315307642</v>
      </c>
      <c r="O134" s="19"/>
      <c r="P134" s="229">
        <f t="shared" ref="P134:P197" si="17">AVERAGE(F134,I134,L134)</f>
        <v>6.5136496560128139</v>
      </c>
      <c r="Q134" s="229">
        <f t="shared" si="16"/>
        <v>8.3109555063342864</v>
      </c>
      <c r="R134" s="144"/>
    </row>
    <row r="135" spans="2:18">
      <c r="B135" s="142">
        <f t="shared" ref="B135:B198" si="18">YEAR(D135)</f>
        <v>2032</v>
      </c>
      <c r="C135" s="19">
        <f t="shared" ref="C135:C198" si="19">MONTH(D135)</f>
        <v>10</v>
      </c>
      <c r="D135" s="143">
        <v>48488</v>
      </c>
      <c r="E135" s="19" t="str">
        <f t="shared" ref="E135:E198" si="20">C135&amp;"-"&amp;B135</f>
        <v>10-2032</v>
      </c>
      <c r="F135" s="91">
        <f>'IEPR Gas Prices Real'!F137*(INDEX('GDP Deflator'!$D$6:$D$91,MATCH('IEPR Gas Prices Nominal'!$B135,'GDP Deflator'!$B$6:$B$91,0)))</f>
        <v>6.1893528681932919</v>
      </c>
      <c r="G135" s="91">
        <f>'IEPR Gas Prices Real'!G137*(INDEX('GDP Deflator'!$D$6:$D$91,MATCH('IEPR Gas Prices Nominal'!$B135,'GDP Deflator'!$B$6:$B$91,0)))</f>
        <v>1.5715076764645144</v>
      </c>
      <c r="H135" s="91">
        <f>'IEPR Gas Prices Real'!H137*(INDEX('GDP Deflator'!$D$6:$D$91,MATCH('IEPR Gas Prices Nominal'!$B135,'GDP Deflator'!$B$6:$B$91,0)))</f>
        <v>7.7608605446578069</v>
      </c>
      <c r="I135" s="91">
        <f>'IEPR Gas Prices Real'!I137*(INDEX('GDP Deflator'!$D$6:$D$91,MATCH('IEPR Gas Prices Nominal'!$B135,'GDP Deflator'!$B$6:$B$91,0)))</f>
        <v>6.50059398027771</v>
      </c>
      <c r="J135" s="91">
        <f>'IEPR Gas Prices Real'!J137*(INDEX('GDP Deflator'!$D$6:$D$91,MATCH('IEPR Gas Prices Nominal'!$B135,'GDP Deflator'!$B$6:$B$91,0)))</f>
        <v>2.5949392210858684</v>
      </c>
      <c r="K135" s="91">
        <f>'IEPR Gas Prices Real'!K137*(INDEX('GDP Deflator'!$D$6:$D$91,MATCH('IEPR Gas Prices Nominal'!$B135,'GDP Deflator'!$B$6:$B$91,0)))</f>
        <v>9.0955332013635779</v>
      </c>
      <c r="L135" s="91">
        <f>'IEPR Gas Prices Real'!L137*(INDEX('GDP Deflator'!$D$6:$D$91,MATCH('IEPR Gas Prices Nominal'!$B135,'GDP Deflator'!$B$6:$B$91,0)))</f>
        <v>6.7383270007316067</v>
      </c>
      <c r="M135" s="91">
        <f>'IEPR Gas Prices Real'!M137*(INDEX('GDP Deflator'!$D$6:$D$91,MATCH('IEPR Gas Prices Nominal'!$B135,'GDP Deflator'!$B$6:$B$91,0)))</f>
        <v>1.2254706534140372</v>
      </c>
      <c r="N135" s="91">
        <f>'IEPR Gas Prices Real'!N137*(INDEX('GDP Deflator'!$D$6:$D$91,MATCH('IEPR Gas Prices Nominal'!$B135,'GDP Deflator'!$B$6:$B$91,0)))</f>
        <v>7.9637976541456439</v>
      </c>
      <c r="O135" s="19"/>
      <c r="P135" s="229">
        <f t="shared" si="17"/>
        <v>6.4760912830675368</v>
      </c>
      <c r="Q135" s="229">
        <f t="shared" ref="Q135:Q198" si="21">AVERAGE(H135,K135,N135)</f>
        <v>8.2733971333890093</v>
      </c>
      <c r="R135" s="144"/>
    </row>
    <row r="136" spans="2:18">
      <c r="B136" s="142">
        <f t="shared" si="18"/>
        <v>2032</v>
      </c>
      <c r="C136" s="19">
        <f t="shared" si="19"/>
        <v>11</v>
      </c>
      <c r="D136" s="143">
        <v>48519</v>
      </c>
      <c r="E136" s="19" t="str">
        <f t="shared" si="20"/>
        <v>11-2032</v>
      </c>
      <c r="F136" s="91">
        <f>'IEPR Gas Prices Real'!F138*(INDEX('GDP Deflator'!$D$6:$D$91,MATCH('IEPR Gas Prices Nominal'!$B136,'GDP Deflator'!$B$6:$B$91,0)))</f>
        <v>6.4951494404591603</v>
      </c>
      <c r="G136" s="91">
        <f>'IEPR Gas Prices Real'!G138*(INDEX('GDP Deflator'!$D$6:$D$91,MATCH('IEPR Gas Prices Nominal'!$B136,'GDP Deflator'!$B$6:$B$91,0)))</f>
        <v>1.5715076764645144</v>
      </c>
      <c r="H136" s="91">
        <f>'IEPR Gas Prices Real'!H138*(INDEX('GDP Deflator'!$D$6:$D$91,MATCH('IEPR Gas Prices Nominal'!$B136,'GDP Deflator'!$B$6:$B$91,0)))</f>
        <v>8.0666571169236754</v>
      </c>
      <c r="I136" s="91">
        <f>'IEPR Gas Prices Real'!I138*(INDEX('GDP Deflator'!$D$6:$D$91,MATCH('IEPR Gas Prices Nominal'!$B136,'GDP Deflator'!$B$6:$B$91,0)))</f>
        <v>6.8218031246263093</v>
      </c>
      <c r="J136" s="91">
        <f>'IEPR Gas Prices Real'!J138*(INDEX('GDP Deflator'!$D$6:$D$91,MATCH('IEPR Gas Prices Nominal'!$B136,'GDP Deflator'!$B$6:$B$91,0)))</f>
        <v>2.5949392210858684</v>
      </c>
      <c r="K136" s="91">
        <f>'IEPR Gas Prices Real'!K138*(INDEX('GDP Deflator'!$D$6:$D$91,MATCH('IEPR Gas Prices Nominal'!$B136,'GDP Deflator'!$B$6:$B$91,0)))</f>
        <v>9.4167423457121764</v>
      </c>
      <c r="L136" s="91">
        <f>'IEPR Gas Prices Real'!L138*(INDEX('GDP Deflator'!$D$6:$D$91,MATCH('IEPR Gas Prices Nominal'!$B136,'GDP Deflator'!$B$6:$B$91,0)))</f>
        <v>7.0715257864923862</v>
      </c>
      <c r="M136" s="91">
        <f>'IEPR Gas Prices Real'!M138*(INDEX('GDP Deflator'!$D$6:$D$91,MATCH('IEPR Gas Prices Nominal'!$B136,'GDP Deflator'!$B$6:$B$91,0)))</f>
        <v>1.2254706534140372</v>
      </c>
      <c r="N136" s="91">
        <f>'IEPR Gas Prices Real'!N138*(INDEX('GDP Deflator'!$D$6:$D$91,MATCH('IEPR Gas Prices Nominal'!$B136,'GDP Deflator'!$B$6:$B$91,0)))</f>
        <v>8.2969964399064224</v>
      </c>
      <c r="O136" s="19"/>
      <c r="P136" s="229">
        <f t="shared" si="17"/>
        <v>6.7961594505259519</v>
      </c>
      <c r="Q136" s="229">
        <f t="shared" si="21"/>
        <v>8.5934653008474253</v>
      </c>
      <c r="R136" s="144"/>
    </row>
    <row r="137" spans="2:18">
      <c r="B137" s="142">
        <f t="shared" si="18"/>
        <v>2032</v>
      </c>
      <c r="C137" s="19">
        <f t="shared" si="19"/>
        <v>12</v>
      </c>
      <c r="D137" s="143">
        <v>48549</v>
      </c>
      <c r="E137" s="19" t="str">
        <f t="shared" si="20"/>
        <v>12-2032</v>
      </c>
      <c r="F137" s="91">
        <f>'IEPR Gas Prices Real'!F139*(INDEX('GDP Deflator'!$D$6:$D$91,MATCH('IEPR Gas Prices Nominal'!$B137,'GDP Deflator'!$B$6:$B$91,0)))</f>
        <v>6.5472683972496624</v>
      </c>
      <c r="G137" s="91">
        <f>'IEPR Gas Prices Real'!G139*(INDEX('GDP Deflator'!$D$6:$D$91,MATCH('IEPR Gas Prices Nominal'!$B137,'GDP Deflator'!$B$6:$B$91,0)))</f>
        <v>1.5715076764645144</v>
      </c>
      <c r="H137" s="91">
        <f>'IEPR Gas Prices Real'!H139*(INDEX('GDP Deflator'!$D$6:$D$91,MATCH('IEPR Gas Prices Nominal'!$B137,'GDP Deflator'!$B$6:$B$91,0)))</f>
        <v>8.1187760737141783</v>
      </c>
      <c r="I137" s="91">
        <f>'IEPR Gas Prices Real'!I139*(INDEX('GDP Deflator'!$D$6:$D$91,MATCH('IEPR Gas Prices Nominal'!$B137,'GDP Deflator'!$B$6:$B$91,0)))</f>
        <v>6.8765786530751321</v>
      </c>
      <c r="J137" s="91">
        <f>'IEPR Gas Prices Real'!J139*(INDEX('GDP Deflator'!$D$6:$D$91,MATCH('IEPR Gas Prices Nominal'!$B137,'GDP Deflator'!$B$6:$B$91,0)))</f>
        <v>2.5949392210858684</v>
      </c>
      <c r="K137" s="91">
        <f>'IEPR Gas Prices Real'!K139*(INDEX('GDP Deflator'!$D$6:$D$91,MATCH('IEPR Gas Prices Nominal'!$B137,'GDP Deflator'!$B$6:$B$91,0)))</f>
        <v>9.471517874161</v>
      </c>
      <c r="L137" s="91">
        <f>'IEPR Gas Prices Real'!L139*(INDEX('GDP Deflator'!$D$6:$D$91,MATCH('IEPR Gas Prices Nominal'!$B137,'GDP Deflator'!$B$6:$B$91,0)))</f>
        <v>7.1285511458174522</v>
      </c>
      <c r="M137" s="91">
        <f>'IEPR Gas Prices Real'!M139*(INDEX('GDP Deflator'!$D$6:$D$91,MATCH('IEPR Gas Prices Nominal'!$B137,'GDP Deflator'!$B$6:$B$91,0)))</f>
        <v>1.2254706534140372</v>
      </c>
      <c r="N137" s="91">
        <f>'IEPR Gas Prices Real'!N139*(INDEX('GDP Deflator'!$D$6:$D$91,MATCH('IEPR Gas Prices Nominal'!$B137,'GDP Deflator'!$B$6:$B$91,0)))</f>
        <v>8.3540217992314894</v>
      </c>
      <c r="O137" s="19"/>
      <c r="P137" s="229">
        <f t="shared" si="17"/>
        <v>6.8507993987140834</v>
      </c>
      <c r="Q137" s="229">
        <f t="shared" si="21"/>
        <v>8.6481052490355559</v>
      </c>
      <c r="R137" s="144"/>
    </row>
    <row r="138" spans="2:18">
      <c r="B138" s="142">
        <f t="shared" si="18"/>
        <v>2033</v>
      </c>
      <c r="C138" s="19">
        <f t="shared" si="19"/>
        <v>1</v>
      </c>
      <c r="D138" s="143">
        <v>48580</v>
      </c>
      <c r="E138" s="19" t="str">
        <f t="shared" si="20"/>
        <v>1-2033</v>
      </c>
      <c r="F138" s="91">
        <f>'IEPR Gas Prices Real'!F140*(INDEX('GDP Deflator'!$D$6:$D$91,MATCH('IEPR Gas Prices Nominal'!$B138,'GDP Deflator'!$B$6:$B$91,0)))</f>
        <v>6.6880244618991229</v>
      </c>
      <c r="G138" s="91">
        <f>'IEPR Gas Prices Real'!G140*(INDEX('GDP Deflator'!$D$6:$D$91,MATCH('IEPR Gas Prices Nominal'!$B138,'GDP Deflator'!$B$6:$B$91,0)))</f>
        <v>1.6695014718248697</v>
      </c>
      <c r="H138" s="91">
        <f>'IEPR Gas Prices Real'!H140*(INDEX('GDP Deflator'!$D$6:$D$91,MATCH('IEPR Gas Prices Nominal'!$B138,'GDP Deflator'!$B$6:$B$91,0)))</f>
        <v>8.3575259337239931</v>
      </c>
      <c r="I138" s="91">
        <f>'IEPR Gas Prices Real'!I140*(INDEX('GDP Deflator'!$D$6:$D$91,MATCH('IEPR Gas Prices Nominal'!$B138,'GDP Deflator'!$B$6:$B$91,0)))</f>
        <v>7.024329215698554</v>
      </c>
      <c r="J138" s="91">
        <f>'IEPR Gas Prices Real'!J140*(INDEX('GDP Deflator'!$D$6:$D$91,MATCH('IEPR Gas Prices Nominal'!$B138,'GDP Deflator'!$B$6:$B$91,0)))</f>
        <v>2.7567506756603248</v>
      </c>
      <c r="K138" s="91">
        <f>'IEPR Gas Prices Real'!K140*(INDEX('GDP Deflator'!$D$6:$D$91,MATCH('IEPR Gas Prices Nominal'!$B138,'GDP Deflator'!$B$6:$B$91,0)))</f>
        <v>9.7810798913588783</v>
      </c>
      <c r="L138" s="91">
        <f>'IEPR Gas Prices Real'!L140*(INDEX('GDP Deflator'!$D$6:$D$91,MATCH('IEPR Gas Prices Nominal'!$B138,'GDP Deflator'!$B$6:$B$91,0)))</f>
        <v>7.2822988540476556</v>
      </c>
      <c r="M138" s="91">
        <f>'IEPR Gas Prices Real'!M140*(INDEX('GDP Deflator'!$D$6:$D$91,MATCH('IEPR Gas Prices Nominal'!$B138,'GDP Deflator'!$B$6:$B$91,0)))</f>
        <v>1.30188677420636</v>
      </c>
      <c r="N138" s="91">
        <f>'IEPR Gas Prices Real'!N140*(INDEX('GDP Deflator'!$D$6:$D$91,MATCH('IEPR Gas Prices Nominal'!$B138,'GDP Deflator'!$B$6:$B$91,0)))</f>
        <v>8.5841856282540157</v>
      </c>
      <c r="O138" s="19"/>
      <c r="P138" s="229">
        <f t="shared" si="17"/>
        <v>6.9982175105484439</v>
      </c>
      <c r="Q138" s="229">
        <f t="shared" si="21"/>
        <v>8.9075971511122951</v>
      </c>
      <c r="R138" s="144"/>
    </row>
    <row r="139" spans="2:18">
      <c r="B139" s="142">
        <f t="shared" si="18"/>
        <v>2033</v>
      </c>
      <c r="C139" s="19">
        <f t="shared" si="19"/>
        <v>2</v>
      </c>
      <c r="D139" s="143">
        <v>48611</v>
      </c>
      <c r="E139" s="19" t="str">
        <f t="shared" si="20"/>
        <v>2-2033</v>
      </c>
      <c r="F139" s="91">
        <f>'IEPR Gas Prices Real'!F141*(INDEX('GDP Deflator'!$D$6:$D$91,MATCH('IEPR Gas Prices Nominal'!$B139,'GDP Deflator'!$B$6:$B$91,0)))</f>
        <v>6.5410183655750558</v>
      </c>
      <c r="G139" s="91">
        <f>'IEPR Gas Prices Real'!G141*(INDEX('GDP Deflator'!$D$6:$D$91,MATCH('IEPR Gas Prices Nominal'!$B139,'GDP Deflator'!$B$6:$B$91,0)))</f>
        <v>1.6695014718248697</v>
      </c>
      <c r="H139" s="91">
        <f>'IEPR Gas Prices Real'!H141*(INDEX('GDP Deflator'!$D$6:$D$91,MATCH('IEPR Gas Prices Nominal'!$B139,'GDP Deflator'!$B$6:$B$91,0)))</f>
        <v>8.2105198373999251</v>
      </c>
      <c r="I139" s="91">
        <f>'IEPR Gas Prices Real'!I141*(INDEX('GDP Deflator'!$D$6:$D$91,MATCH('IEPR Gas Prices Nominal'!$B139,'GDP Deflator'!$B$6:$B$91,0)))</f>
        <v>6.8698476702685767</v>
      </c>
      <c r="J139" s="91">
        <f>'IEPR Gas Prices Real'!J141*(INDEX('GDP Deflator'!$D$6:$D$91,MATCH('IEPR Gas Prices Nominal'!$B139,'GDP Deflator'!$B$6:$B$91,0)))</f>
        <v>2.7567506756603248</v>
      </c>
      <c r="K139" s="91">
        <f>'IEPR Gas Prices Real'!K141*(INDEX('GDP Deflator'!$D$6:$D$91,MATCH('IEPR Gas Prices Nominal'!$B139,'GDP Deflator'!$B$6:$B$91,0)))</f>
        <v>9.6265983459289011</v>
      </c>
      <c r="L139" s="91">
        <f>'IEPR Gas Prices Real'!L141*(INDEX('GDP Deflator'!$D$6:$D$91,MATCH('IEPR Gas Prices Nominal'!$B139,'GDP Deflator'!$B$6:$B$91,0)))</f>
        <v>7.1227144978248917</v>
      </c>
      <c r="M139" s="91">
        <f>'IEPR Gas Prices Real'!M141*(INDEX('GDP Deflator'!$D$6:$D$91,MATCH('IEPR Gas Prices Nominal'!$B139,'GDP Deflator'!$B$6:$B$91,0)))</f>
        <v>1.30188677420636</v>
      </c>
      <c r="N139" s="91">
        <f>'IEPR Gas Prices Real'!N141*(INDEX('GDP Deflator'!$D$6:$D$91,MATCH('IEPR Gas Prices Nominal'!$B139,'GDP Deflator'!$B$6:$B$91,0)))</f>
        <v>8.4246012720312518</v>
      </c>
      <c r="O139" s="19"/>
      <c r="P139" s="229">
        <f t="shared" si="17"/>
        <v>6.8445268445561744</v>
      </c>
      <c r="Q139" s="229">
        <f t="shared" si="21"/>
        <v>8.7539064851200266</v>
      </c>
      <c r="R139" s="144"/>
    </row>
    <row r="140" spans="2:18">
      <c r="B140" s="142">
        <f t="shared" si="18"/>
        <v>2033</v>
      </c>
      <c r="C140" s="19">
        <f t="shared" si="19"/>
        <v>3</v>
      </c>
      <c r="D140" s="143">
        <v>48639</v>
      </c>
      <c r="E140" s="19" t="str">
        <f t="shared" si="20"/>
        <v>3-2033</v>
      </c>
      <c r="F140" s="91">
        <f>'IEPR Gas Prices Real'!F142*(INDEX('GDP Deflator'!$D$6:$D$91,MATCH('IEPR Gas Prices Nominal'!$B140,'GDP Deflator'!$B$6:$B$91,0)))</f>
        <v>6.0043314095300966</v>
      </c>
      <c r="G140" s="91">
        <f>'IEPR Gas Prices Real'!G142*(INDEX('GDP Deflator'!$D$6:$D$91,MATCH('IEPR Gas Prices Nominal'!$B140,'GDP Deflator'!$B$6:$B$91,0)))</f>
        <v>1.6695014718248697</v>
      </c>
      <c r="H140" s="91">
        <f>'IEPR Gas Prices Real'!H142*(INDEX('GDP Deflator'!$D$6:$D$91,MATCH('IEPR Gas Prices Nominal'!$B140,'GDP Deflator'!$B$6:$B$91,0)))</f>
        <v>7.6738328813549659</v>
      </c>
      <c r="I140" s="91">
        <f>'IEPR Gas Prices Real'!I142*(INDEX('GDP Deflator'!$D$6:$D$91,MATCH('IEPR Gas Prices Nominal'!$B140,'GDP Deflator'!$B$6:$B$91,0)))</f>
        <v>6.3061039670360222</v>
      </c>
      <c r="J140" s="91">
        <f>'IEPR Gas Prices Real'!J142*(INDEX('GDP Deflator'!$D$6:$D$91,MATCH('IEPR Gas Prices Nominal'!$B140,'GDP Deflator'!$B$6:$B$91,0)))</f>
        <v>2.7567506756603248</v>
      </c>
      <c r="K140" s="91">
        <f>'IEPR Gas Prices Real'!K142*(INDEX('GDP Deflator'!$D$6:$D$91,MATCH('IEPR Gas Prices Nominal'!$B140,'GDP Deflator'!$B$6:$B$91,0)))</f>
        <v>9.0628546426963474</v>
      </c>
      <c r="L140" s="91">
        <f>'IEPR Gas Prices Real'!L142*(INDEX('GDP Deflator'!$D$6:$D$91,MATCH('IEPR Gas Prices Nominal'!$B140,'GDP Deflator'!$B$6:$B$91,0)))</f>
        <v>6.5387442407185548</v>
      </c>
      <c r="M140" s="91">
        <f>'IEPR Gas Prices Real'!M142*(INDEX('GDP Deflator'!$D$6:$D$91,MATCH('IEPR Gas Prices Nominal'!$B140,'GDP Deflator'!$B$6:$B$91,0)))</f>
        <v>1.30188677420636</v>
      </c>
      <c r="N140" s="91">
        <f>'IEPR Gas Prices Real'!N142*(INDEX('GDP Deflator'!$D$6:$D$91,MATCH('IEPR Gas Prices Nominal'!$B140,'GDP Deflator'!$B$6:$B$91,0)))</f>
        <v>7.8406310149249148</v>
      </c>
      <c r="O140" s="19"/>
      <c r="P140" s="229">
        <f t="shared" si="17"/>
        <v>6.2830598724282245</v>
      </c>
      <c r="Q140" s="229">
        <f t="shared" si="21"/>
        <v>8.1924395129920757</v>
      </c>
      <c r="R140" s="144"/>
    </row>
    <row r="141" spans="2:18">
      <c r="B141" s="142">
        <f t="shared" si="18"/>
        <v>2033</v>
      </c>
      <c r="C141" s="19">
        <f t="shared" si="19"/>
        <v>4</v>
      </c>
      <c r="D141" s="143">
        <v>48670</v>
      </c>
      <c r="E141" s="19" t="str">
        <f t="shared" si="20"/>
        <v>4-2033</v>
      </c>
      <c r="F141" s="91">
        <f>'IEPR Gas Prices Real'!F143*(INDEX('GDP Deflator'!$D$6:$D$91,MATCH('IEPR Gas Prices Nominal'!$B141,'GDP Deflator'!$B$6:$B$91,0)))</f>
        <v>5.9018298581399309</v>
      </c>
      <c r="G141" s="91">
        <f>'IEPR Gas Prices Real'!G143*(INDEX('GDP Deflator'!$D$6:$D$91,MATCH('IEPR Gas Prices Nominal'!$B141,'GDP Deflator'!$B$6:$B$91,0)))</f>
        <v>1.6695014718248697</v>
      </c>
      <c r="H141" s="91">
        <f>'IEPR Gas Prices Real'!H143*(INDEX('GDP Deflator'!$D$6:$D$91,MATCH('IEPR Gas Prices Nominal'!$B141,'GDP Deflator'!$B$6:$B$91,0)))</f>
        <v>7.5713313299648002</v>
      </c>
      <c r="I141" s="91">
        <f>'IEPR Gas Prices Real'!I143*(INDEX('GDP Deflator'!$D$6:$D$91,MATCH('IEPR Gas Prices Nominal'!$B141,'GDP Deflator'!$B$6:$B$91,0)))</f>
        <v>6.1983755825279943</v>
      </c>
      <c r="J141" s="91">
        <f>'IEPR Gas Prices Real'!J143*(INDEX('GDP Deflator'!$D$6:$D$91,MATCH('IEPR Gas Prices Nominal'!$B141,'GDP Deflator'!$B$6:$B$91,0)))</f>
        <v>2.7567506756603248</v>
      </c>
      <c r="K141" s="91">
        <f>'IEPR Gas Prices Real'!K143*(INDEX('GDP Deflator'!$D$6:$D$91,MATCH('IEPR Gas Prices Nominal'!$B141,'GDP Deflator'!$B$6:$B$91,0)))</f>
        <v>8.9551262581883186</v>
      </c>
      <c r="L141" s="91">
        <f>'IEPR Gas Prices Real'!L143*(INDEX('GDP Deflator'!$D$6:$D$91,MATCH('IEPR Gas Prices Nominal'!$B141,'GDP Deflator'!$B$6:$B$91,0)))</f>
        <v>6.4275566279702838</v>
      </c>
      <c r="M141" s="91">
        <f>'IEPR Gas Prices Real'!M143*(INDEX('GDP Deflator'!$D$6:$D$91,MATCH('IEPR Gas Prices Nominal'!$B141,'GDP Deflator'!$B$6:$B$91,0)))</f>
        <v>1.30188677420636</v>
      </c>
      <c r="N141" s="91">
        <f>'IEPR Gas Prices Real'!N143*(INDEX('GDP Deflator'!$D$6:$D$91,MATCH('IEPR Gas Prices Nominal'!$B141,'GDP Deflator'!$B$6:$B$91,0)))</f>
        <v>7.7294434021766438</v>
      </c>
      <c r="O141" s="19"/>
      <c r="P141" s="229">
        <f t="shared" si="17"/>
        <v>6.1759206895460688</v>
      </c>
      <c r="Q141" s="229">
        <f t="shared" si="21"/>
        <v>8.0853003301099218</v>
      </c>
      <c r="R141" s="144"/>
    </row>
    <row r="142" spans="2:18">
      <c r="B142" s="142">
        <f t="shared" si="18"/>
        <v>2033</v>
      </c>
      <c r="C142" s="19">
        <f t="shared" si="19"/>
        <v>5</v>
      </c>
      <c r="D142" s="143">
        <v>48700</v>
      </c>
      <c r="E142" s="19" t="str">
        <f t="shared" si="20"/>
        <v>5-2033</v>
      </c>
      <c r="F142" s="91">
        <f>'IEPR Gas Prices Real'!F144*(INDEX('GDP Deflator'!$D$6:$D$91,MATCH('IEPR Gas Prices Nominal'!$B142,'GDP Deflator'!$B$6:$B$91,0)))</f>
        <v>6.1068841154145357</v>
      </c>
      <c r="G142" s="91">
        <f>'IEPR Gas Prices Real'!G144*(INDEX('GDP Deflator'!$D$6:$D$91,MATCH('IEPR Gas Prices Nominal'!$B142,'GDP Deflator'!$B$6:$B$91,0)))</f>
        <v>1.6695014718248697</v>
      </c>
      <c r="H142" s="91">
        <f>'IEPR Gas Prices Real'!H144*(INDEX('GDP Deflator'!$D$6:$D$91,MATCH('IEPR Gas Prices Nominal'!$B142,'GDP Deflator'!$B$6:$B$91,0)))</f>
        <v>7.7763855872394059</v>
      </c>
      <c r="I142" s="91">
        <f>'IEPR Gas Prices Real'!I144*(INDEX('GDP Deflator'!$D$6:$D$91,MATCH('IEPR Gas Prices Nominal'!$B142,'GDP Deflator'!$B$6:$B$91,0)))</f>
        <v>6.4136552580487658</v>
      </c>
      <c r="J142" s="91">
        <f>'IEPR Gas Prices Real'!J144*(INDEX('GDP Deflator'!$D$6:$D$91,MATCH('IEPR Gas Prices Nominal'!$B142,'GDP Deflator'!$B$6:$B$91,0)))</f>
        <v>2.7567506756603248</v>
      </c>
      <c r="K142" s="91">
        <f>'IEPR Gas Prices Real'!K144*(INDEX('GDP Deflator'!$D$6:$D$91,MATCH('IEPR Gas Prices Nominal'!$B142,'GDP Deflator'!$B$6:$B$91,0)))</f>
        <v>9.1704059337090911</v>
      </c>
      <c r="L142" s="91">
        <f>'IEPR Gas Prices Real'!L144*(INDEX('GDP Deflator'!$D$6:$D$91,MATCH('IEPR Gas Prices Nominal'!$B142,'GDP Deflator'!$B$6:$B$91,0)))</f>
        <v>6.6513291494787241</v>
      </c>
      <c r="M142" s="91">
        <f>'IEPR Gas Prices Real'!M144*(INDEX('GDP Deflator'!$D$6:$D$91,MATCH('IEPR Gas Prices Nominal'!$B142,'GDP Deflator'!$B$6:$B$91,0)))</f>
        <v>1.30188677420636</v>
      </c>
      <c r="N142" s="91">
        <f>'IEPR Gas Prices Real'!N144*(INDEX('GDP Deflator'!$D$6:$D$91,MATCH('IEPR Gas Prices Nominal'!$B142,'GDP Deflator'!$B$6:$B$91,0)))</f>
        <v>7.9532159236850841</v>
      </c>
      <c r="O142" s="19"/>
      <c r="P142" s="229">
        <f t="shared" si="17"/>
        <v>6.3906228409806749</v>
      </c>
      <c r="Q142" s="229">
        <f t="shared" si="21"/>
        <v>8.3000024815445261</v>
      </c>
      <c r="R142" s="144"/>
    </row>
    <row r="143" spans="2:18">
      <c r="B143" s="142">
        <f t="shared" si="18"/>
        <v>2033</v>
      </c>
      <c r="C143" s="19">
        <f t="shared" si="19"/>
        <v>6</v>
      </c>
      <c r="D143" s="143">
        <v>48731</v>
      </c>
      <c r="E143" s="19" t="str">
        <f t="shared" si="20"/>
        <v>6-2033</v>
      </c>
      <c r="F143" s="91">
        <f>'IEPR Gas Prices Real'!F145*(INDEX('GDP Deflator'!$D$6:$D$91,MATCH('IEPR Gas Prices Nominal'!$B143,'GDP Deflator'!$B$6:$B$91,0)))</f>
        <v>6.2644046718561448</v>
      </c>
      <c r="G143" s="91">
        <f>'IEPR Gas Prices Real'!G145*(INDEX('GDP Deflator'!$D$6:$D$91,MATCH('IEPR Gas Prices Nominal'!$B143,'GDP Deflator'!$B$6:$B$91,0)))</f>
        <v>1.6695014718248697</v>
      </c>
      <c r="H143" s="91">
        <f>'IEPR Gas Prices Real'!H145*(INDEX('GDP Deflator'!$D$6:$D$91,MATCH('IEPR Gas Prices Nominal'!$B143,'GDP Deflator'!$B$6:$B$91,0)))</f>
        <v>7.933906143681015</v>
      </c>
      <c r="I143" s="91">
        <f>'IEPR Gas Prices Real'!I145*(INDEX('GDP Deflator'!$D$6:$D$91,MATCH('IEPR Gas Prices Nominal'!$B143,'GDP Deflator'!$B$6:$B$91,0)))</f>
        <v>6.5790088049108375</v>
      </c>
      <c r="J143" s="91">
        <f>'IEPR Gas Prices Real'!J145*(INDEX('GDP Deflator'!$D$6:$D$91,MATCH('IEPR Gas Prices Nominal'!$B143,'GDP Deflator'!$B$6:$B$91,0)))</f>
        <v>2.7567506756603248</v>
      </c>
      <c r="K143" s="91">
        <f>'IEPR Gas Prices Real'!K145*(INDEX('GDP Deflator'!$D$6:$D$91,MATCH('IEPR Gas Prices Nominal'!$B143,'GDP Deflator'!$B$6:$B$91,0)))</f>
        <v>9.3357594805711628</v>
      </c>
      <c r="L143" s="91">
        <f>'IEPR Gas Prices Real'!L145*(INDEX('GDP Deflator'!$D$6:$D$91,MATCH('IEPR Gas Prices Nominal'!$B143,'GDP Deflator'!$B$6:$B$91,0)))</f>
        <v>6.8233571597860001</v>
      </c>
      <c r="M143" s="91">
        <f>'IEPR Gas Prices Real'!M145*(INDEX('GDP Deflator'!$D$6:$D$91,MATCH('IEPR Gas Prices Nominal'!$B143,'GDP Deflator'!$B$6:$B$91,0)))</f>
        <v>1.30188677420636</v>
      </c>
      <c r="N143" s="91">
        <f>'IEPR Gas Prices Real'!N145*(INDEX('GDP Deflator'!$D$6:$D$91,MATCH('IEPR Gas Prices Nominal'!$B143,'GDP Deflator'!$B$6:$B$91,0)))</f>
        <v>8.1252439339923601</v>
      </c>
      <c r="O143" s="19"/>
      <c r="P143" s="229">
        <f t="shared" si="17"/>
        <v>6.5555902121843275</v>
      </c>
      <c r="Q143" s="229">
        <f t="shared" si="21"/>
        <v>8.4649698527481778</v>
      </c>
      <c r="R143" s="144"/>
    </row>
    <row r="144" spans="2:18">
      <c r="B144" s="142">
        <f t="shared" si="18"/>
        <v>2033</v>
      </c>
      <c r="C144" s="19">
        <f t="shared" si="19"/>
        <v>7</v>
      </c>
      <c r="D144" s="143">
        <v>48761</v>
      </c>
      <c r="E144" s="19" t="str">
        <f t="shared" si="20"/>
        <v>7-2033</v>
      </c>
      <c r="F144" s="91">
        <f>'IEPR Gas Prices Real'!F146*(INDEX('GDP Deflator'!$D$6:$D$91,MATCH('IEPR Gas Prices Nominal'!$B144,'GDP Deflator'!$B$6:$B$91,0)))</f>
        <v>6.3137454010889087</v>
      </c>
      <c r="G144" s="91">
        <f>'IEPR Gas Prices Real'!G146*(INDEX('GDP Deflator'!$D$6:$D$91,MATCH('IEPR Gas Prices Nominal'!$B144,'GDP Deflator'!$B$6:$B$91,0)))</f>
        <v>1.6695014718248697</v>
      </c>
      <c r="H144" s="91">
        <f>'IEPR Gas Prices Real'!H146*(INDEX('GDP Deflator'!$D$6:$D$91,MATCH('IEPR Gas Prices Nominal'!$B144,'GDP Deflator'!$B$6:$B$91,0)))</f>
        <v>7.9832468729137789</v>
      </c>
      <c r="I144" s="91">
        <f>'IEPR Gas Prices Real'!I146*(INDEX('GDP Deflator'!$D$6:$D$91,MATCH('IEPR Gas Prices Nominal'!$B144,'GDP Deflator'!$B$6:$B$91,0)))</f>
        <v>6.6307469822690592</v>
      </c>
      <c r="J144" s="91">
        <f>'IEPR Gas Prices Real'!J146*(INDEX('GDP Deflator'!$D$6:$D$91,MATCH('IEPR Gas Prices Nominal'!$B144,'GDP Deflator'!$B$6:$B$91,0)))</f>
        <v>2.7567506756603248</v>
      </c>
      <c r="K144" s="91">
        <f>'IEPR Gas Prices Real'!K146*(INDEX('GDP Deflator'!$D$6:$D$91,MATCH('IEPR Gas Prices Nominal'!$B144,'GDP Deflator'!$B$6:$B$91,0)))</f>
        <v>9.3874976579293836</v>
      </c>
      <c r="L144" s="91">
        <f>'IEPR Gas Prices Real'!L146*(INDEX('GDP Deflator'!$D$6:$D$91,MATCH('IEPR Gas Prices Nominal'!$B144,'GDP Deflator'!$B$6:$B$91,0)))</f>
        <v>6.8775682247883019</v>
      </c>
      <c r="M144" s="91">
        <f>'IEPR Gas Prices Real'!M146*(INDEX('GDP Deflator'!$D$6:$D$91,MATCH('IEPR Gas Prices Nominal'!$B144,'GDP Deflator'!$B$6:$B$91,0)))</f>
        <v>1.30188677420636</v>
      </c>
      <c r="N144" s="91">
        <f>'IEPR Gas Prices Real'!N146*(INDEX('GDP Deflator'!$D$6:$D$91,MATCH('IEPR Gas Prices Nominal'!$B144,'GDP Deflator'!$B$6:$B$91,0)))</f>
        <v>8.179454998994661</v>
      </c>
      <c r="O144" s="19"/>
      <c r="P144" s="229">
        <f t="shared" si="17"/>
        <v>6.6073535360487563</v>
      </c>
      <c r="Q144" s="229">
        <f t="shared" si="21"/>
        <v>8.5167331766126075</v>
      </c>
      <c r="R144" s="144"/>
    </row>
    <row r="145" spans="2:18">
      <c r="B145" s="142">
        <f t="shared" si="18"/>
        <v>2033</v>
      </c>
      <c r="C145" s="19">
        <f t="shared" si="19"/>
        <v>8</v>
      </c>
      <c r="D145" s="143">
        <v>48792</v>
      </c>
      <c r="E145" s="19" t="str">
        <f t="shared" si="20"/>
        <v>8-2033</v>
      </c>
      <c r="F145" s="91">
        <f>'IEPR Gas Prices Real'!F147*(INDEX('GDP Deflator'!$D$6:$D$91,MATCH('IEPR Gas Prices Nominal'!$B145,'GDP Deflator'!$B$6:$B$91,0)))</f>
        <v>6.2646227761687738</v>
      </c>
      <c r="G145" s="91">
        <f>'IEPR Gas Prices Real'!G147*(INDEX('GDP Deflator'!$D$6:$D$91,MATCH('IEPR Gas Prices Nominal'!$B145,'GDP Deflator'!$B$6:$B$91,0)))</f>
        <v>1.6695014718248697</v>
      </c>
      <c r="H145" s="91">
        <f>'IEPR Gas Prices Real'!H147*(INDEX('GDP Deflator'!$D$6:$D$91,MATCH('IEPR Gas Prices Nominal'!$B145,'GDP Deflator'!$B$6:$B$91,0)))</f>
        <v>7.9341242479936431</v>
      </c>
      <c r="I145" s="91">
        <f>'IEPR Gas Prices Real'!I147*(INDEX('GDP Deflator'!$D$6:$D$91,MATCH('IEPR Gas Prices Nominal'!$B145,'GDP Deflator'!$B$6:$B$91,0)))</f>
        <v>6.5790781224811861</v>
      </c>
      <c r="J145" s="91">
        <f>'IEPR Gas Prices Real'!J147*(INDEX('GDP Deflator'!$D$6:$D$91,MATCH('IEPR Gas Prices Nominal'!$B145,'GDP Deflator'!$B$6:$B$91,0)))</f>
        <v>2.7567506756603248</v>
      </c>
      <c r="K145" s="91">
        <f>'IEPR Gas Prices Real'!K147*(INDEX('GDP Deflator'!$D$6:$D$91,MATCH('IEPR Gas Prices Nominal'!$B145,'GDP Deflator'!$B$6:$B$91,0)))</f>
        <v>9.3358287981415113</v>
      </c>
      <c r="L145" s="91">
        <f>'IEPR Gas Prices Real'!L147*(INDEX('GDP Deflator'!$D$6:$D$91,MATCH('IEPR Gas Prices Nominal'!$B145,'GDP Deflator'!$B$6:$B$91,0)))</f>
        <v>6.8245231820627712</v>
      </c>
      <c r="M145" s="91">
        <f>'IEPR Gas Prices Real'!M147*(INDEX('GDP Deflator'!$D$6:$D$91,MATCH('IEPR Gas Prices Nominal'!$B145,'GDP Deflator'!$B$6:$B$91,0)))</f>
        <v>1.30188677420636</v>
      </c>
      <c r="N145" s="91">
        <f>'IEPR Gas Prices Real'!N147*(INDEX('GDP Deflator'!$D$6:$D$91,MATCH('IEPR Gas Prices Nominal'!$B145,'GDP Deflator'!$B$6:$B$91,0)))</f>
        <v>8.1264099562691303</v>
      </c>
      <c r="O145" s="19"/>
      <c r="P145" s="229">
        <f t="shared" si="17"/>
        <v>6.5560746935709107</v>
      </c>
      <c r="Q145" s="229">
        <f t="shared" si="21"/>
        <v>8.4654543341347619</v>
      </c>
      <c r="R145" s="144"/>
    </row>
    <row r="146" spans="2:18">
      <c r="B146" s="142">
        <f t="shared" si="18"/>
        <v>2033</v>
      </c>
      <c r="C146" s="19">
        <f t="shared" si="19"/>
        <v>9</v>
      </c>
      <c r="D146" s="143">
        <v>48823</v>
      </c>
      <c r="E146" s="19" t="str">
        <f t="shared" si="20"/>
        <v>9-2033</v>
      </c>
      <c r="F146" s="91">
        <f>'IEPR Gas Prices Real'!F148*(INDEX('GDP Deflator'!$D$6:$D$91,MATCH('IEPR Gas Prices Nominal'!$B146,'GDP Deflator'!$B$6:$B$91,0)))</f>
        <v>6.3523804966647823</v>
      </c>
      <c r="G146" s="91">
        <f>'IEPR Gas Prices Real'!G148*(INDEX('GDP Deflator'!$D$6:$D$91,MATCH('IEPR Gas Prices Nominal'!$B146,'GDP Deflator'!$B$6:$B$91,0)))</f>
        <v>1.6695014718248697</v>
      </c>
      <c r="H146" s="91">
        <f>'IEPR Gas Prices Real'!H148*(INDEX('GDP Deflator'!$D$6:$D$91,MATCH('IEPR Gas Prices Nominal'!$B146,'GDP Deflator'!$B$6:$B$91,0)))</f>
        <v>8.0218819684896516</v>
      </c>
      <c r="I146" s="91">
        <f>'IEPR Gas Prices Real'!I148*(INDEX('GDP Deflator'!$D$6:$D$91,MATCH('IEPR Gas Prices Nominal'!$B146,'GDP Deflator'!$B$6:$B$91,0)))</f>
        <v>6.6711598654222346</v>
      </c>
      <c r="J146" s="91">
        <f>'IEPR Gas Prices Real'!J148*(INDEX('GDP Deflator'!$D$6:$D$91,MATCH('IEPR Gas Prices Nominal'!$B146,'GDP Deflator'!$B$6:$B$91,0)))</f>
        <v>2.7567506756603248</v>
      </c>
      <c r="K146" s="91">
        <f>'IEPR Gas Prices Real'!K148*(INDEX('GDP Deflator'!$D$6:$D$91,MATCH('IEPR Gas Prices Nominal'!$B146,'GDP Deflator'!$B$6:$B$91,0)))</f>
        <v>9.427910541082559</v>
      </c>
      <c r="L146" s="91">
        <f>'IEPR Gas Prices Real'!L148*(INDEX('GDP Deflator'!$D$6:$D$91,MATCH('IEPR Gas Prices Nominal'!$B146,'GDP Deflator'!$B$6:$B$91,0)))</f>
        <v>6.9205951160029073</v>
      </c>
      <c r="M146" s="91">
        <f>'IEPR Gas Prices Real'!M148*(INDEX('GDP Deflator'!$D$6:$D$91,MATCH('IEPR Gas Prices Nominal'!$B146,'GDP Deflator'!$B$6:$B$91,0)))</f>
        <v>1.30188677420636</v>
      </c>
      <c r="N146" s="91">
        <f>'IEPR Gas Prices Real'!N148*(INDEX('GDP Deflator'!$D$6:$D$91,MATCH('IEPR Gas Prices Nominal'!$B146,'GDP Deflator'!$B$6:$B$91,0)))</f>
        <v>8.2224818902092665</v>
      </c>
      <c r="O146" s="19"/>
      <c r="P146" s="229">
        <f t="shared" si="17"/>
        <v>6.648045159363309</v>
      </c>
      <c r="Q146" s="229">
        <f t="shared" si="21"/>
        <v>8.5574247999271602</v>
      </c>
      <c r="R146" s="144"/>
    </row>
    <row r="147" spans="2:18">
      <c r="B147" s="142">
        <f t="shared" si="18"/>
        <v>2033</v>
      </c>
      <c r="C147" s="19">
        <f t="shared" si="19"/>
        <v>10</v>
      </c>
      <c r="D147" s="143">
        <v>48853</v>
      </c>
      <c r="E147" s="19" t="str">
        <f t="shared" si="20"/>
        <v>10-2033</v>
      </c>
      <c r="F147" s="91">
        <f>'IEPR Gas Prices Real'!F149*(INDEX('GDP Deflator'!$D$6:$D$91,MATCH('IEPR Gas Prices Nominal'!$B147,'GDP Deflator'!$B$6:$B$91,0)))</f>
        <v>6.3154172328078522</v>
      </c>
      <c r="G147" s="91">
        <f>'IEPR Gas Prices Real'!G149*(INDEX('GDP Deflator'!$D$6:$D$91,MATCH('IEPR Gas Prices Nominal'!$B147,'GDP Deflator'!$B$6:$B$91,0)))</f>
        <v>1.6695014718248697</v>
      </c>
      <c r="H147" s="91">
        <f>'IEPR Gas Prices Real'!H149*(INDEX('GDP Deflator'!$D$6:$D$91,MATCH('IEPR Gas Prices Nominal'!$B147,'GDP Deflator'!$B$6:$B$91,0)))</f>
        <v>7.9849187046327224</v>
      </c>
      <c r="I147" s="91">
        <f>'IEPR Gas Prices Real'!I149*(INDEX('GDP Deflator'!$D$6:$D$91,MATCH('IEPR Gas Prices Nominal'!$B147,'GDP Deflator'!$B$6:$B$91,0)))</f>
        <v>6.6322611292561158</v>
      </c>
      <c r="J147" s="91">
        <f>'IEPR Gas Prices Real'!J149*(INDEX('GDP Deflator'!$D$6:$D$91,MATCH('IEPR Gas Prices Nominal'!$B147,'GDP Deflator'!$B$6:$B$91,0)))</f>
        <v>2.7567506756603248</v>
      </c>
      <c r="K147" s="91">
        <f>'IEPR Gas Prices Real'!K149*(INDEX('GDP Deflator'!$D$6:$D$91,MATCH('IEPR Gas Prices Nominal'!$B147,'GDP Deflator'!$B$6:$B$91,0)))</f>
        <v>9.3890118049164411</v>
      </c>
      <c r="L147" s="91">
        <f>'IEPR Gas Prices Real'!L149*(INDEX('GDP Deflator'!$D$6:$D$91,MATCH('IEPR Gas Prices Nominal'!$B147,'GDP Deflator'!$B$6:$B$91,0)))</f>
        <v>6.8807937450402292</v>
      </c>
      <c r="M147" s="91">
        <f>'IEPR Gas Prices Real'!M149*(INDEX('GDP Deflator'!$D$6:$D$91,MATCH('IEPR Gas Prices Nominal'!$B147,'GDP Deflator'!$B$6:$B$91,0)))</f>
        <v>1.30188677420636</v>
      </c>
      <c r="N147" s="91">
        <f>'IEPR Gas Prices Real'!N149*(INDEX('GDP Deflator'!$D$6:$D$91,MATCH('IEPR Gas Prices Nominal'!$B147,'GDP Deflator'!$B$6:$B$91,0)))</f>
        <v>8.1826805192465901</v>
      </c>
      <c r="O147" s="19"/>
      <c r="P147" s="229">
        <f t="shared" si="17"/>
        <v>6.609490702368066</v>
      </c>
      <c r="Q147" s="229">
        <f t="shared" si="21"/>
        <v>8.5188703429319172</v>
      </c>
      <c r="R147" s="144"/>
    </row>
    <row r="148" spans="2:18">
      <c r="B148" s="142">
        <f t="shared" si="18"/>
        <v>2033</v>
      </c>
      <c r="C148" s="19">
        <f t="shared" si="19"/>
        <v>11</v>
      </c>
      <c r="D148" s="143">
        <v>48884</v>
      </c>
      <c r="E148" s="19" t="str">
        <f t="shared" si="20"/>
        <v>11-2033</v>
      </c>
      <c r="F148" s="91">
        <f>'IEPR Gas Prices Real'!F150*(INDEX('GDP Deflator'!$D$6:$D$91,MATCH('IEPR Gas Prices Nominal'!$B148,'GDP Deflator'!$B$6:$B$91,0)))</f>
        <v>6.6271930355523487</v>
      </c>
      <c r="G148" s="91">
        <f>'IEPR Gas Prices Real'!G150*(INDEX('GDP Deflator'!$D$6:$D$91,MATCH('IEPR Gas Prices Nominal'!$B148,'GDP Deflator'!$B$6:$B$91,0)))</f>
        <v>1.6695014718248697</v>
      </c>
      <c r="H148" s="91">
        <f>'IEPR Gas Prices Real'!H150*(INDEX('GDP Deflator'!$D$6:$D$91,MATCH('IEPR Gas Prices Nominal'!$B148,'GDP Deflator'!$B$6:$B$91,0)))</f>
        <v>8.296694507377218</v>
      </c>
      <c r="I148" s="91">
        <f>'IEPR Gas Prices Real'!I150*(INDEX('GDP Deflator'!$D$6:$D$91,MATCH('IEPR Gas Prices Nominal'!$B148,'GDP Deflator'!$B$6:$B$91,0)))</f>
        <v>6.9595941442375864</v>
      </c>
      <c r="J148" s="91">
        <f>'IEPR Gas Prices Real'!J150*(INDEX('GDP Deflator'!$D$6:$D$91,MATCH('IEPR Gas Prices Nominal'!$B148,'GDP Deflator'!$B$6:$B$91,0)))</f>
        <v>2.7567506756603248</v>
      </c>
      <c r="K148" s="91">
        <f>'IEPR Gas Prices Real'!K150*(INDEX('GDP Deflator'!$D$6:$D$91,MATCH('IEPR Gas Prices Nominal'!$B148,'GDP Deflator'!$B$6:$B$91,0)))</f>
        <v>9.7163448198979125</v>
      </c>
      <c r="L148" s="91">
        <f>'IEPR Gas Prices Real'!L150*(INDEX('GDP Deflator'!$D$6:$D$91,MATCH('IEPR Gas Prices Nominal'!$B148,'GDP Deflator'!$B$6:$B$91,0)))</f>
        <v>7.2209721575489274</v>
      </c>
      <c r="M148" s="91">
        <f>'IEPR Gas Prices Real'!M150*(INDEX('GDP Deflator'!$D$6:$D$91,MATCH('IEPR Gas Prices Nominal'!$B148,'GDP Deflator'!$B$6:$B$91,0)))</f>
        <v>1.30188677420636</v>
      </c>
      <c r="N148" s="91">
        <f>'IEPR Gas Prices Real'!N150*(INDEX('GDP Deflator'!$D$6:$D$91,MATCH('IEPR Gas Prices Nominal'!$B148,'GDP Deflator'!$B$6:$B$91,0)))</f>
        <v>8.5228589317552874</v>
      </c>
      <c r="O148" s="19"/>
      <c r="P148" s="229">
        <f t="shared" si="17"/>
        <v>6.9359197791129539</v>
      </c>
      <c r="Q148" s="229">
        <f t="shared" si="21"/>
        <v>8.845299419676806</v>
      </c>
      <c r="R148" s="144"/>
    </row>
    <row r="149" spans="2:18">
      <c r="B149" s="142">
        <f t="shared" si="18"/>
        <v>2033</v>
      </c>
      <c r="C149" s="19">
        <f t="shared" si="19"/>
        <v>12</v>
      </c>
      <c r="D149" s="143">
        <v>48914</v>
      </c>
      <c r="E149" s="19" t="str">
        <f t="shared" si="20"/>
        <v>12-2033</v>
      </c>
      <c r="F149" s="91">
        <f>'IEPR Gas Prices Real'!F151*(INDEX('GDP Deflator'!$D$6:$D$91,MATCH('IEPR Gas Prices Nominal'!$B149,'GDP Deflator'!$B$6:$B$91,0)))</f>
        <v>6.6801203023761708</v>
      </c>
      <c r="G149" s="91">
        <f>'IEPR Gas Prices Real'!G151*(INDEX('GDP Deflator'!$D$6:$D$91,MATCH('IEPR Gas Prices Nominal'!$B149,'GDP Deflator'!$B$6:$B$91,0)))</f>
        <v>1.6695014718248697</v>
      </c>
      <c r="H149" s="91">
        <f>'IEPR Gas Prices Real'!H151*(INDEX('GDP Deflator'!$D$6:$D$91,MATCH('IEPR Gas Prices Nominal'!$B149,'GDP Deflator'!$B$6:$B$91,0)))</f>
        <v>8.3496217742010401</v>
      </c>
      <c r="I149" s="91">
        <f>'IEPR Gas Prices Real'!I151*(INDEX('GDP Deflator'!$D$6:$D$91,MATCH('IEPR Gas Prices Nominal'!$B149,'GDP Deflator'!$B$6:$B$91,0)))</f>
        <v>7.0150908489817967</v>
      </c>
      <c r="J149" s="91">
        <f>'IEPR Gas Prices Real'!J151*(INDEX('GDP Deflator'!$D$6:$D$91,MATCH('IEPR Gas Prices Nominal'!$B149,'GDP Deflator'!$B$6:$B$91,0)))</f>
        <v>2.7567506756603248</v>
      </c>
      <c r="K149" s="91">
        <f>'IEPR Gas Prices Real'!K151*(INDEX('GDP Deflator'!$D$6:$D$91,MATCH('IEPR Gas Prices Nominal'!$B149,'GDP Deflator'!$B$6:$B$91,0)))</f>
        <v>9.771841524642122</v>
      </c>
      <c r="L149" s="91">
        <f>'IEPR Gas Prices Real'!L151*(INDEX('GDP Deflator'!$D$6:$D$91,MATCH('IEPR Gas Prices Nominal'!$B149,'GDP Deflator'!$B$6:$B$91,0)))</f>
        <v>7.2791370257590247</v>
      </c>
      <c r="M149" s="91">
        <f>'IEPR Gas Prices Real'!M151*(INDEX('GDP Deflator'!$D$6:$D$91,MATCH('IEPR Gas Prices Nominal'!$B149,'GDP Deflator'!$B$6:$B$91,0)))</f>
        <v>1.30188677420636</v>
      </c>
      <c r="N149" s="91">
        <f>'IEPR Gas Prices Real'!N151*(INDEX('GDP Deflator'!$D$6:$D$91,MATCH('IEPR Gas Prices Nominal'!$B149,'GDP Deflator'!$B$6:$B$91,0)))</f>
        <v>8.5810237999653847</v>
      </c>
      <c r="O149" s="19"/>
      <c r="P149" s="229">
        <f t="shared" si="17"/>
        <v>6.9914493923723304</v>
      </c>
      <c r="Q149" s="229">
        <f t="shared" si="21"/>
        <v>8.9008290329361817</v>
      </c>
      <c r="R149" s="144"/>
    </row>
    <row r="150" spans="2:18">
      <c r="B150" s="142">
        <f t="shared" si="18"/>
        <v>2034</v>
      </c>
      <c r="C150" s="19">
        <f t="shared" si="19"/>
        <v>1</v>
      </c>
      <c r="D150" s="143">
        <v>48945</v>
      </c>
      <c r="E150" s="19" t="str">
        <f t="shared" si="20"/>
        <v>1-2034</v>
      </c>
      <c r="F150" s="91">
        <f>'IEPR Gas Prices Real'!F152*(INDEX('GDP Deflator'!$D$6:$D$91,MATCH('IEPR Gas Prices Nominal'!$B150,'GDP Deflator'!$B$6:$B$91,0)))</f>
        <v>6.82541091611124</v>
      </c>
      <c r="G150" s="91">
        <f>'IEPR Gas Prices Real'!G152*(INDEX('GDP Deflator'!$D$6:$D$91,MATCH('IEPR Gas Prices Nominal'!$B150,'GDP Deflator'!$B$6:$B$91,0)))</f>
        <v>1.7740178598062744</v>
      </c>
      <c r="H150" s="91">
        <f>'IEPR Gas Prices Real'!H152*(INDEX('GDP Deflator'!$D$6:$D$91,MATCH('IEPR Gas Prices Nominal'!$B150,'GDP Deflator'!$B$6:$B$91,0)))</f>
        <v>8.599428775917513</v>
      </c>
      <c r="I150" s="91">
        <f>'IEPR Gas Prices Real'!I152*(INDEX('GDP Deflator'!$D$6:$D$91,MATCH('IEPR Gas Prices Nominal'!$B150,'GDP Deflator'!$B$6:$B$91,0)))</f>
        <v>7.1675977358493936</v>
      </c>
      <c r="J150" s="91">
        <f>'IEPR Gas Prices Real'!J152*(INDEX('GDP Deflator'!$D$6:$D$91,MATCH('IEPR Gas Prices Nominal'!$B150,'GDP Deflator'!$B$6:$B$91,0)))</f>
        <v>2.9293325080503103</v>
      </c>
      <c r="K150" s="91">
        <f>'IEPR Gas Prices Real'!K152*(INDEX('GDP Deflator'!$D$6:$D$91,MATCH('IEPR Gas Prices Nominal'!$B150,'GDP Deflator'!$B$6:$B$91,0)))</f>
        <v>10.096930243899704</v>
      </c>
      <c r="L150" s="91">
        <f>'IEPR Gas Prices Real'!L152*(INDEX('GDP Deflator'!$D$6:$D$91,MATCH('IEPR Gas Prices Nominal'!$B150,'GDP Deflator'!$B$6:$B$91,0)))</f>
        <v>7.4385273529618416</v>
      </c>
      <c r="M150" s="91">
        <f>'IEPR Gas Prices Real'!M152*(INDEX('GDP Deflator'!$D$6:$D$91,MATCH('IEPR Gas Prices Nominal'!$B150,'GDP Deflator'!$B$6:$B$91,0)))</f>
        <v>1.3833892499436711</v>
      </c>
      <c r="N150" s="91">
        <f>'IEPR Gas Prices Real'!N152*(INDEX('GDP Deflator'!$D$6:$D$91,MATCH('IEPR Gas Prices Nominal'!$B150,'GDP Deflator'!$B$6:$B$91,0)))</f>
        <v>8.8219166029055121</v>
      </c>
      <c r="O150" s="19"/>
      <c r="P150" s="229">
        <f t="shared" si="17"/>
        <v>7.1438453349741584</v>
      </c>
      <c r="Q150" s="229">
        <f t="shared" si="21"/>
        <v>9.1727585409075747</v>
      </c>
      <c r="R150" s="144"/>
    </row>
    <row r="151" spans="2:18">
      <c r="B151" s="142">
        <f t="shared" si="18"/>
        <v>2034</v>
      </c>
      <c r="C151" s="19">
        <f t="shared" si="19"/>
        <v>2</v>
      </c>
      <c r="D151" s="143">
        <v>48976</v>
      </c>
      <c r="E151" s="19" t="str">
        <f t="shared" si="20"/>
        <v>2-2034</v>
      </c>
      <c r="F151" s="91">
        <f>'IEPR Gas Prices Real'!F153*(INDEX('GDP Deflator'!$D$6:$D$91,MATCH('IEPR Gas Prices Nominal'!$B151,'GDP Deflator'!$B$6:$B$91,0)))</f>
        <v>6.675476142477569</v>
      </c>
      <c r="G151" s="91">
        <f>'IEPR Gas Prices Real'!G153*(INDEX('GDP Deflator'!$D$6:$D$91,MATCH('IEPR Gas Prices Nominal'!$B151,'GDP Deflator'!$B$6:$B$91,0)))</f>
        <v>1.7740178598062744</v>
      </c>
      <c r="H151" s="91">
        <f>'IEPR Gas Prices Real'!H153*(INDEX('GDP Deflator'!$D$6:$D$91,MATCH('IEPR Gas Prices Nominal'!$B151,'GDP Deflator'!$B$6:$B$91,0)))</f>
        <v>8.4494940022838438</v>
      </c>
      <c r="I151" s="91">
        <f>'IEPR Gas Prices Real'!I153*(INDEX('GDP Deflator'!$D$6:$D$91,MATCH('IEPR Gas Prices Nominal'!$B151,'GDP Deflator'!$B$6:$B$91,0)))</f>
        <v>7.0100783692305146</v>
      </c>
      <c r="J151" s="91">
        <f>'IEPR Gas Prices Real'!J153*(INDEX('GDP Deflator'!$D$6:$D$91,MATCH('IEPR Gas Prices Nominal'!$B151,'GDP Deflator'!$B$6:$B$91,0)))</f>
        <v>2.9293325080503103</v>
      </c>
      <c r="K151" s="91">
        <f>'IEPR Gas Prices Real'!K153*(INDEX('GDP Deflator'!$D$6:$D$91,MATCH('IEPR Gas Prices Nominal'!$B151,'GDP Deflator'!$B$6:$B$91,0)))</f>
        <v>9.9394108772808245</v>
      </c>
      <c r="L151" s="91">
        <f>'IEPR Gas Prices Real'!L153*(INDEX('GDP Deflator'!$D$6:$D$91,MATCH('IEPR Gas Prices Nominal'!$B151,'GDP Deflator'!$B$6:$B$91,0)))</f>
        <v>7.2761720871331557</v>
      </c>
      <c r="M151" s="91">
        <f>'IEPR Gas Prices Real'!M153*(INDEX('GDP Deflator'!$D$6:$D$91,MATCH('IEPR Gas Prices Nominal'!$B151,'GDP Deflator'!$B$6:$B$91,0)))</f>
        <v>1.3833892499436711</v>
      </c>
      <c r="N151" s="91">
        <f>'IEPR Gas Prices Real'!N153*(INDEX('GDP Deflator'!$D$6:$D$91,MATCH('IEPR Gas Prices Nominal'!$B151,'GDP Deflator'!$B$6:$B$91,0)))</f>
        <v>8.659561337076827</v>
      </c>
      <c r="O151" s="19"/>
      <c r="P151" s="229">
        <f t="shared" si="17"/>
        <v>6.9872421996137462</v>
      </c>
      <c r="Q151" s="229">
        <f t="shared" si="21"/>
        <v>9.0161554055471651</v>
      </c>
      <c r="R151" s="144"/>
    </row>
    <row r="152" spans="2:18">
      <c r="B152" s="142">
        <f t="shared" si="18"/>
        <v>2034</v>
      </c>
      <c r="C152" s="19">
        <f t="shared" si="19"/>
        <v>3</v>
      </c>
      <c r="D152" s="143">
        <v>49004</v>
      </c>
      <c r="E152" s="19" t="str">
        <f t="shared" si="20"/>
        <v>3-2034</v>
      </c>
      <c r="F152" s="91">
        <f>'IEPR Gas Prices Real'!F154*(INDEX('GDP Deflator'!$D$6:$D$91,MATCH('IEPR Gas Prices Nominal'!$B152,'GDP Deflator'!$B$6:$B$91,0)))</f>
        <v>6.1278406830369292</v>
      </c>
      <c r="G152" s="91">
        <f>'IEPR Gas Prices Real'!G154*(INDEX('GDP Deflator'!$D$6:$D$91,MATCH('IEPR Gas Prices Nominal'!$B152,'GDP Deflator'!$B$6:$B$91,0)))</f>
        <v>1.7740178598062744</v>
      </c>
      <c r="H152" s="91">
        <f>'IEPR Gas Prices Real'!H154*(INDEX('GDP Deflator'!$D$6:$D$91,MATCH('IEPR Gas Prices Nominal'!$B152,'GDP Deflator'!$B$6:$B$91,0)))</f>
        <v>7.901858542843204</v>
      </c>
      <c r="I152" s="91">
        <f>'IEPR Gas Prices Real'!I154*(INDEX('GDP Deflator'!$D$6:$D$91,MATCH('IEPR Gas Prices Nominal'!$B152,'GDP Deflator'!$B$6:$B$91,0)))</f>
        <v>6.4349309949747768</v>
      </c>
      <c r="J152" s="91">
        <f>'IEPR Gas Prices Real'!J154*(INDEX('GDP Deflator'!$D$6:$D$91,MATCH('IEPR Gas Prices Nominal'!$B152,'GDP Deflator'!$B$6:$B$91,0)))</f>
        <v>2.9293325080503103</v>
      </c>
      <c r="K152" s="91">
        <f>'IEPR Gas Prices Real'!K154*(INDEX('GDP Deflator'!$D$6:$D$91,MATCH('IEPR Gas Prices Nominal'!$B152,'GDP Deflator'!$B$6:$B$91,0)))</f>
        <v>9.3642635030250876</v>
      </c>
      <c r="L152" s="91">
        <f>'IEPR Gas Prices Real'!L154*(INDEX('GDP Deflator'!$D$6:$D$91,MATCH('IEPR Gas Prices Nominal'!$B152,'GDP Deflator'!$B$6:$B$91,0)))</f>
        <v>6.6802195048215864</v>
      </c>
      <c r="M152" s="91">
        <f>'IEPR Gas Prices Real'!M154*(INDEX('GDP Deflator'!$D$6:$D$91,MATCH('IEPR Gas Prices Nominal'!$B152,'GDP Deflator'!$B$6:$B$91,0)))</f>
        <v>1.3833892499436711</v>
      </c>
      <c r="N152" s="91">
        <f>'IEPR Gas Prices Real'!N154*(INDEX('GDP Deflator'!$D$6:$D$91,MATCH('IEPR Gas Prices Nominal'!$B152,'GDP Deflator'!$B$6:$B$91,0)))</f>
        <v>8.0636087547652586</v>
      </c>
      <c r="O152" s="19"/>
      <c r="P152" s="229">
        <f t="shared" si="17"/>
        <v>6.4143303942777647</v>
      </c>
      <c r="Q152" s="229">
        <f t="shared" si="21"/>
        <v>8.4432436002111846</v>
      </c>
      <c r="R152" s="144"/>
    </row>
    <row r="153" spans="2:18">
      <c r="B153" s="142">
        <f t="shared" si="18"/>
        <v>2034</v>
      </c>
      <c r="C153" s="19">
        <f t="shared" si="19"/>
        <v>4</v>
      </c>
      <c r="D153" s="143">
        <v>49035</v>
      </c>
      <c r="E153" s="19" t="str">
        <f t="shared" si="20"/>
        <v>4-2034</v>
      </c>
      <c r="F153" s="91">
        <f>'IEPR Gas Prices Real'!F155*(INDEX('GDP Deflator'!$D$6:$D$91,MATCH('IEPR Gas Prices Nominal'!$B153,'GDP Deflator'!$B$6:$B$91,0)))</f>
        <v>6.0233129425095475</v>
      </c>
      <c r="G153" s="91">
        <f>'IEPR Gas Prices Real'!G155*(INDEX('GDP Deflator'!$D$6:$D$91,MATCH('IEPR Gas Prices Nominal'!$B153,'GDP Deflator'!$B$6:$B$91,0)))</f>
        <v>1.7740178598062744</v>
      </c>
      <c r="H153" s="91">
        <f>'IEPR Gas Prices Real'!H155*(INDEX('GDP Deflator'!$D$6:$D$91,MATCH('IEPR Gas Prices Nominal'!$B153,'GDP Deflator'!$B$6:$B$91,0)))</f>
        <v>7.7973308023158232</v>
      </c>
      <c r="I153" s="91">
        <f>'IEPR Gas Prices Real'!I155*(INDEX('GDP Deflator'!$D$6:$D$91,MATCH('IEPR Gas Prices Nominal'!$B153,'GDP Deflator'!$B$6:$B$91,0)))</f>
        <v>6.3251038257698502</v>
      </c>
      <c r="J153" s="91">
        <f>'IEPR Gas Prices Real'!J155*(INDEX('GDP Deflator'!$D$6:$D$91,MATCH('IEPR Gas Prices Nominal'!$B153,'GDP Deflator'!$B$6:$B$91,0)))</f>
        <v>2.9293325080503103</v>
      </c>
      <c r="K153" s="91">
        <f>'IEPR Gas Prices Real'!K155*(INDEX('GDP Deflator'!$D$6:$D$91,MATCH('IEPR Gas Prices Nominal'!$B153,'GDP Deflator'!$B$6:$B$91,0)))</f>
        <v>9.254436333820161</v>
      </c>
      <c r="L153" s="91">
        <f>'IEPR Gas Prices Real'!L155*(INDEX('GDP Deflator'!$D$6:$D$91,MATCH('IEPR Gas Prices Nominal'!$B153,'GDP Deflator'!$B$6:$B$91,0)))</f>
        <v>6.5672152404268171</v>
      </c>
      <c r="M153" s="91">
        <f>'IEPR Gas Prices Real'!M155*(INDEX('GDP Deflator'!$D$6:$D$91,MATCH('IEPR Gas Prices Nominal'!$B153,'GDP Deflator'!$B$6:$B$91,0)))</f>
        <v>1.3833892499436711</v>
      </c>
      <c r="N153" s="91">
        <f>'IEPR Gas Prices Real'!N155*(INDEX('GDP Deflator'!$D$6:$D$91,MATCH('IEPR Gas Prices Nominal'!$B153,'GDP Deflator'!$B$6:$B$91,0)))</f>
        <v>7.9506044903704884</v>
      </c>
      <c r="O153" s="19"/>
      <c r="P153" s="229">
        <f t="shared" si="17"/>
        <v>6.305210669568738</v>
      </c>
      <c r="Q153" s="229">
        <f t="shared" si="21"/>
        <v>8.3341238755021578</v>
      </c>
      <c r="R153" s="144"/>
    </row>
    <row r="154" spans="2:18">
      <c r="B154" s="142">
        <f t="shared" si="18"/>
        <v>2034</v>
      </c>
      <c r="C154" s="19">
        <f t="shared" si="19"/>
        <v>5</v>
      </c>
      <c r="D154" s="143">
        <v>49065</v>
      </c>
      <c r="E154" s="19" t="str">
        <f t="shared" si="20"/>
        <v>5-2034</v>
      </c>
      <c r="F154" s="91">
        <f>'IEPR Gas Prices Real'!F156*(INDEX('GDP Deflator'!$D$6:$D$91,MATCH('IEPR Gas Prices Nominal'!$B154,'GDP Deflator'!$B$6:$B$91,0)))</f>
        <v>6.2326731762819652</v>
      </c>
      <c r="G154" s="91">
        <f>'IEPR Gas Prices Real'!G156*(INDEX('GDP Deflator'!$D$6:$D$91,MATCH('IEPR Gas Prices Nominal'!$B154,'GDP Deflator'!$B$6:$B$91,0)))</f>
        <v>1.7740178598062744</v>
      </c>
      <c r="H154" s="91">
        <f>'IEPR Gas Prices Real'!H156*(INDEX('GDP Deflator'!$D$6:$D$91,MATCH('IEPR Gas Prices Nominal'!$B154,'GDP Deflator'!$B$6:$B$91,0)))</f>
        <v>8.00669103608824</v>
      </c>
      <c r="I154" s="91">
        <f>'IEPR Gas Prices Real'!I156*(INDEX('GDP Deflator'!$D$6:$D$91,MATCH('IEPR Gas Prices Nominal'!$B154,'GDP Deflator'!$B$6:$B$91,0)))</f>
        <v>6.5448905373353741</v>
      </c>
      <c r="J154" s="91">
        <f>'IEPR Gas Prices Real'!J156*(INDEX('GDP Deflator'!$D$6:$D$91,MATCH('IEPR Gas Prices Nominal'!$B154,'GDP Deflator'!$B$6:$B$91,0)))</f>
        <v>2.9293325080503103</v>
      </c>
      <c r="K154" s="91">
        <f>'IEPR Gas Prices Real'!K156*(INDEX('GDP Deflator'!$D$6:$D$91,MATCH('IEPR Gas Prices Nominal'!$B154,'GDP Deflator'!$B$6:$B$91,0)))</f>
        <v>9.4742230453856848</v>
      </c>
      <c r="L154" s="91">
        <f>'IEPR Gas Prices Real'!L156*(INDEX('GDP Deflator'!$D$6:$D$91,MATCH('IEPR Gas Prices Nominal'!$B154,'GDP Deflator'!$B$6:$B$91,0)))</f>
        <v>6.7964595134868935</v>
      </c>
      <c r="M154" s="91">
        <f>'IEPR Gas Prices Real'!M156*(INDEX('GDP Deflator'!$D$6:$D$91,MATCH('IEPR Gas Prices Nominal'!$B154,'GDP Deflator'!$B$6:$B$91,0)))</f>
        <v>1.3833892499436711</v>
      </c>
      <c r="N154" s="91">
        <f>'IEPR Gas Prices Real'!N156*(INDEX('GDP Deflator'!$D$6:$D$91,MATCH('IEPR Gas Prices Nominal'!$B154,'GDP Deflator'!$B$6:$B$91,0)))</f>
        <v>8.1798487634305648</v>
      </c>
      <c r="O154" s="19"/>
      <c r="P154" s="229">
        <f t="shared" si="17"/>
        <v>6.5246744090347448</v>
      </c>
      <c r="Q154" s="229">
        <f t="shared" si="21"/>
        <v>8.5535876149681638</v>
      </c>
      <c r="R154" s="144"/>
    </row>
    <row r="155" spans="2:18">
      <c r="B155" s="142">
        <f t="shared" si="18"/>
        <v>2034</v>
      </c>
      <c r="C155" s="19">
        <f t="shared" si="19"/>
        <v>6</v>
      </c>
      <c r="D155" s="143">
        <v>49096</v>
      </c>
      <c r="E155" s="19" t="str">
        <f t="shared" si="20"/>
        <v>6-2034</v>
      </c>
      <c r="F155" s="91">
        <f>'IEPR Gas Prices Real'!F157*(INDEX('GDP Deflator'!$D$6:$D$91,MATCH('IEPR Gas Prices Nominal'!$B155,'GDP Deflator'!$B$6:$B$91,0)))</f>
        <v>6.3935256866726293</v>
      </c>
      <c r="G155" s="91">
        <f>'IEPR Gas Prices Real'!G157*(INDEX('GDP Deflator'!$D$6:$D$91,MATCH('IEPR Gas Prices Nominal'!$B155,'GDP Deflator'!$B$6:$B$91,0)))</f>
        <v>1.7740178598062744</v>
      </c>
      <c r="H155" s="91">
        <f>'IEPR Gas Prices Real'!H157*(INDEX('GDP Deflator'!$D$6:$D$91,MATCH('IEPR Gas Prices Nominal'!$B155,'GDP Deflator'!$B$6:$B$91,0)))</f>
        <v>8.167543546478905</v>
      </c>
      <c r="I155" s="91">
        <f>'IEPR Gas Prices Real'!I157*(INDEX('GDP Deflator'!$D$6:$D$91,MATCH('IEPR Gas Prices Nominal'!$B155,'GDP Deflator'!$B$6:$B$91,0)))</f>
        <v>6.7137358275848511</v>
      </c>
      <c r="J155" s="91">
        <f>'IEPR Gas Prices Real'!J157*(INDEX('GDP Deflator'!$D$6:$D$91,MATCH('IEPR Gas Prices Nominal'!$B155,'GDP Deflator'!$B$6:$B$91,0)))</f>
        <v>2.9293325080503103</v>
      </c>
      <c r="K155" s="91">
        <f>'IEPR Gas Prices Real'!K157*(INDEX('GDP Deflator'!$D$6:$D$91,MATCH('IEPR Gas Prices Nominal'!$B155,'GDP Deflator'!$B$6:$B$91,0)))</f>
        <v>9.6430683356351619</v>
      </c>
      <c r="L155" s="91">
        <f>'IEPR Gas Prices Real'!L157*(INDEX('GDP Deflator'!$D$6:$D$91,MATCH('IEPR Gas Prices Nominal'!$B155,'GDP Deflator'!$B$6:$B$91,0)))</f>
        <v>6.9728665362606428</v>
      </c>
      <c r="M155" s="91">
        <f>'IEPR Gas Prices Real'!M157*(INDEX('GDP Deflator'!$D$6:$D$91,MATCH('IEPR Gas Prices Nominal'!$B155,'GDP Deflator'!$B$6:$B$91,0)))</f>
        <v>1.3833892499436711</v>
      </c>
      <c r="N155" s="91">
        <f>'IEPR Gas Prices Real'!N157*(INDEX('GDP Deflator'!$D$6:$D$91,MATCH('IEPR Gas Prices Nominal'!$B155,'GDP Deflator'!$B$6:$B$91,0)))</f>
        <v>8.356255786204315</v>
      </c>
      <c r="O155" s="19"/>
      <c r="P155" s="229">
        <f t="shared" si="17"/>
        <v>6.6933760168393741</v>
      </c>
      <c r="Q155" s="229">
        <f t="shared" si="21"/>
        <v>8.7222892227727939</v>
      </c>
      <c r="R155" s="144"/>
    </row>
    <row r="156" spans="2:18">
      <c r="B156" s="142">
        <f t="shared" si="18"/>
        <v>2034</v>
      </c>
      <c r="C156" s="19">
        <f t="shared" si="19"/>
        <v>7</v>
      </c>
      <c r="D156" s="143">
        <v>49126</v>
      </c>
      <c r="E156" s="19" t="str">
        <f t="shared" si="20"/>
        <v>7-2034</v>
      </c>
      <c r="F156" s="91">
        <f>'IEPR Gas Prices Real'!F158*(INDEX('GDP Deflator'!$D$6:$D$91,MATCH('IEPR Gas Prices Nominal'!$B156,'GDP Deflator'!$B$6:$B$91,0)))</f>
        <v>6.4439714847850516</v>
      </c>
      <c r="G156" s="91">
        <f>'IEPR Gas Prices Real'!G158*(INDEX('GDP Deflator'!$D$6:$D$91,MATCH('IEPR Gas Prices Nominal'!$B156,'GDP Deflator'!$B$6:$B$91,0)))</f>
        <v>1.7740178598062744</v>
      </c>
      <c r="H156" s="91">
        <f>'IEPR Gas Prices Real'!H158*(INDEX('GDP Deflator'!$D$6:$D$91,MATCH('IEPR Gas Prices Nominal'!$B156,'GDP Deflator'!$B$6:$B$91,0)))</f>
        <v>8.2179893445913272</v>
      </c>
      <c r="I156" s="91">
        <f>'IEPR Gas Prices Real'!I158*(INDEX('GDP Deflator'!$D$6:$D$91,MATCH('IEPR Gas Prices Nominal'!$B156,'GDP Deflator'!$B$6:$B$91,0)))</f>
        <v>6.7666426947510239</v>
      </c>
      <c r="J156" s="91">
        <f>'IEPR Gas Prices Real'!J158*(INDEX('GDP Deflator'!$D$6:$D$91,MATCH('IEPR Gas Prices Nominal'!$B156,'GDP Deflator'!$B$6:$B$91,0)))</f>
        <v>2.9293325080503103</v>
      </c>
      <c r="K156" s="91">
        <f>'IEPR Gas Prices Real'!K158*(INDEX('GDP Deflator'!$D$6:$D$91,MATCH('IEPR Gas Prices Nominal'!$B156,'GDP Deflator'!$B$6:$B$91,0)))</f>
        <v>9.6959752028013337</v>
      </c>
      <c r="L156" s="91">
        <f>'IEPR Gas Prices Real'!L158*(INDEX('GDP Deflator'!$D$6:$D$91,MATCH('IEPR Gas Prices Nominal'!$B156,'GDP Deflator'!$B$6:$B$91,0)))</f>
        <v>7.0288958528734691</v>
      </c>
      <c r="M156" s="91">
        <f>'IEPR Gas Prices Real'!M158*(INDEX('GDP Deflator'!$D$6:$D$91,MATCH('IEPR Gas Prices Nominal'!$B156,'GDP Deflator'!$B$6:$B$91,0)))</f>
        <v>1.3833892499436711</v>
      </c>
      <c r="N156" s="91">
        <f>'IEPR Gas Prices Real'!N158*(INDEX('GDP Deflator'!$D$6:$D$91,MATCH('IEPR Gas Prices Nominal'!$B156,'GDP Deflator'!$B$6:$B$91,0)))</f>
        <v>8.4122851028171404</v>
      </c>
      <c r="O156" s="19"/>
      <c r="P156" s="229">
        <f t="shared" si="17"/>
        <v>6.7465033441365145</v>
      </c>
      <c r="Q156" s="229">
        <f t="shared" si="21"/>
        <v>8.7754165500699326</v>
      </c>
      <c r="R156" s="144"/>
    </row>
    <row r="157" spans="2:18">
      <c r="B157" s="142">
        <f t="shared" si="18"/>
        <v>2034</v>
      </c>
      <c r="C157" s="19">
        <f t="shared" si="19"/>
        <v>8</v>
      </c>
      <c r="D157" s="143">
        <v>49157</v>
      </c>
      <c r="E157" s="19" t="str">
        <f t="shared" si="20"/>
        <v>8-2034</v>
      </c>
      <c r="F157" s="91">
        <f>'IEPR Gas Prices Real'!F159*(INDEX('GDP Deflator'!$D$6:$D$91,MATCH('IEPR Gas Prices Nominal'!$B157,'GDP Deflator'!$B$6:$B$91,0)))</f>
        <v>6.393923063009388</v>
      </c>
      <c r="G157" s="91">
        <f>'IEPR Gas Prices Real'!G159*(INDEX('GDP Deflator'!$D$6:$D$91,MATCH('IEPR Gas Prices Nominal'!$B157,'GDP Deflator'!$B$6:$B$91,0)))</f>
        <v>1.7740178598062744</v>
      </c>
      <c r="H157" s="91">
        <f>'IEPR Gas Prices Real'!H159*(INDEX('GDP Deflator'!$D$6:$D$91,MATCH('IEPR Gas Prices Nominal'!$B157,'GDP Deflator'!$B$6:$B$91,0)))</f>
        <v>8.1679409228156619</v>
      </c>
      <c r="I157" s="91">
        <f>'IEPR Gas Prices Real'!I159*(INDEX('GDP Deflator'!$D$6:$D$91,MATCH('IEPR Gas Prices Nominal'!$B157,'GDP Deflator'!$B$6:$B$91,0)))</f>
        <v>6.7140232452051656</v>
      </c>
      <c r="J157" s="91">
        <f>'IEPR Gas Prices Real'!J159*(INDEX('GDP Deflator'!$D$6:$D$91,MATCH('IEPR Gas Prices Nominal'!$B157,'GDP Deflator'!$B$6:$B$91,0)))</f>
        <v>2.9293325080503103</v>
      </c>
      <c r="K157" s="91">
        <f>'IEPR Gas Prices Real'!K159*(INDEX('GDP Deflator'!$D$6:$D$91,MATCH('IEPR Gas Prices Nominal'!$B157,'GDP Deflator'!$B$6:$B$91,0)))</f>
        <v>9.6433557532554754</v>
      </c>
      <c r="L157" s="91">
        <f>'IEPR Gas Prices Real'!L159*(INDEX('GDP Deflator'!$D$6:$D$91,MATCH('IEPR Gas Prices Nominal'!$B157,'GDP Deflator'!$B$6:$B$91,0)))</f>
        <v>6.9753092428019281</v>
      </c>
      <c r="M157" s="91">
        <f>'IEPR Gas Prices Real'!M159*(INDEX('GDP Deflator'!$D$6:$D$91,MATCH('IEPR Gas Prices Nominal'!$B157,'GDP Deflator'!$B$6:$B$91,0)))</f>
        <v>1.3833892499436711</v>
      </c>
      <c r="N157" s="91">
        <f>'IEPR Gas Prices Real'!N159*(INDEX('GDP Deflator'!$D$6:$D$91,MATCH('IEPR Gas Prices Nominal'!$B157,'GDP Deflator'!$B$6:$B$91,0)))</f>
        <v>8.3586984927455994</v>
      </c>
      <c r="O157" s="19"/>
      <c r="P157" s="229">
        <f t="shared" si="17"/>
        <v>6.6944185170054942</v>
      </c>
      <c r="Q157" s="229">
        <f t="shared" si="21"/>
        <v>8.7233317229389122</v>
      </c>
      <c r="R157" s="144"/>
    </row>
    <row r="158" spans="2:18">
      <c r="B158" s="142">
        <f t="shared" si="18"/>
        <v>2034</v>
      </c>
      <c r="C158" s="19">
        <f t="shared" si="19"/>
        <v>9</v>
      </c>
      <c r="D158" s="143">
        <v>49188</v>
      </c>
      <c r="E158" s="19" t="str">
        <f t="shared" si="20"/>
        <v>9-2034</v>
      </c>
      <c r="F158" s="91">
        <f>'IEPR Gas Prices Real'!F160*(INDEX('GDP Deflator'!$D$6:$D$91,MATCH('IEPR Gas Prices Nominal'!$B158,'GDP Deflator'!$B$6:$B$91,0)))</f>
        <v>6.4835807200476578</v>
      </c>
      <c r="G158" s="91">
        <f>'IEPR Gas Prices Real'!G160*(INDEX('GDP Deflator'!$D$6:$D$91,MATCH('IEPR Gas Prices Nominal'!$B158,'GDP Deflator'!$B$6:$B$91,0)))</f>
        <v>1.7740178598062744</v>
      </c>
      <c r="H158" s="91">
        <f>'IEPR Gas Prices Real'!H160*(INDEX('GDP Deflator'!$D$6:$D$91,MATCH('IEPR Gas Prices Nominal'!$B158,'GDP Deflator'!$B$6:$B$91,0)))</f>
        <v>8.2575985798539318</v>
      </c>
      <c r="I158" s="91">
        <f>'IEPR Gas Prices Real'!I160*(INDEX('GDP Deflator'!$D$6:$D$91,MATCH('IEPR Gas Prices Nominal'!$B158,'GDP Deflator'!$B$6:$B$91,0)))</f>
        <v>6.8081035929482656</v>
      </c>
      <c r="J158" s="91">
        <f>'IEPR Gas Prices Real'!J160*(INDEX('GDP Deflator'!$D$6:$D$91,MATCH('IEPR Gas Prices Nominal'!$B158,'GDP Deflator'!$B$6:$B$91,0)))</f>
        <v>2.9293325080503103</v>
      </c>
      <c r="K158" s="91">
        <f>'IEPR Gas Prices Real'!K160*(INDEX('GDP Deflator'!$D$6:$D$91,MATCH('IEPR Gas Prices Nominal'!$B158,'GDP Deflator'!$B$6:$B$91,0)))</f>
        <v>9.7374361009985755</v>
      </c>
      <c r="L158" s="91">
        <f>'IEPR Gas Prices Real'!L160*(INDEX('GDP Deflator'!$D$6:$D$91,MATCH('IEPR Gas Prices Nominal'!$B158,'GDP Deflator'!$B$6:$B$91,0)))</f>
        <v>7.0741382928409298</v>
      </c>
      <c r="M158" s="91">
        <f>'IEPR Gas Prices Real'!M160*(INDEX('GDP Deflator'!$D$6:$D$91,MATCH('IEPR Gas Prices Nominal'!$B158,'GDP Deflator'!$B$6:$B$91,0)))</f>
        <v>1.3833892499436711</v>
      </c>
      <c r="N158" s="91">
        <f>'IEPR Gas Prices Real'!N160*(INDEX('GDP Deflator'!$D$6:$D$91,MATCH('IEPR Gas Prices Nominal'!$B158,'GDP Deflator'!$B$6:$B$91,0)))</f>
        <v>8.4575275427846002</v>
      </c>
      <c r="O158" s="19"/>
      <c r="P158" s="229">
        <f t="shared" si="17"/>
        <v>6.7886075352789517</v>
      </c>
      <c r="Q158" s="229">
        <f t="shared" si="21"/>
        <v>8.817520741212368</v>
      </c>
      <c r="R158" s="144"/>
    </row>
    <row r="159" spans="2:18">
      <c r="B159" s="142">
        <f t="shared" si="18"/>
        <v>2034</v>
      </c>
      <c r="C159" s="19">
        <f t="shared" si="19"/>
        <v>10</v>
      </c>
      <c r="D159" s="143">
        <v>49218</v>
      </c>
      <c r="E159" s="19" t="str">
        <f t="shared" si="20"/>
        <v>10-2034</v>
      </c>
      <c r="F159" s="91">
        <f>'IEPR Gas Prices Real'!F161*(INDEX('GDP Deflator'!$D$6:$D$91,MATCH('IEPR Gas Prices Nominal'!$B159,'GDP Deflator'!$B$6:$B$91,0)))</f>
        <v>6.4459421678301156</v>
      </c>
      <c r="G159" s="91">
        <f>'IEPR Gas Prices Real'!G161*(INDEX('GDP Deflator'!$D$6:$D$91,MATCH('IEPR Gas Prices Nominal'!$B159,'GDP Deflator'!$B$6:$B$91,0)))</f>
        <v>1.7740178598062744</v>
      </c>
      <c r="H159" s="91">
        <f>'IEPR Gas Prices Real'!H161*(INDEX('GDP Deflator'!$D$6:$D$91,MATCH('IEPR Gas Prices Nominal'!$B159,'GDP Deflator'!$B$6:$B$91,0)))</f>
        <v>8.2199600276363896</v>
      </c>
      <c r="I159" s="91">
        <f>'IEPR Gas Prices Real'!I161*(INDEX('GDP Deflator'!$D$6:$D$91,MATCH('IEPR Gas Prices Nominal'!$B159,'GDP Deflator'!$B$6:$B$91,0)))</f>
        <v>6.7685156307182721</v>
      </c>
      <c r="J159" s="91">
        <f>'IEPR Gas Prices Real'!J161*(INDEX('GDP Deflator'!$D$6:$D$91,MATCH('IEPR Gas Prices Nominal'!$B159,'GDP Deflator'!$B$6:$B$91,0)))</f>
        <v>2.9293325080503103</v>
      </c>
      <c r="K159" s="91">
        <f>'IEPR Gas Prices Real'!K161*(INDEX('GDP Deflator'!$D$6:$D$91,MATCH('IEPR Gas Prices Nominal'!$B159,'GDP Deflator'!$B$6:$B$91,0)))</f>
        <v>9.6978481387685829</v>
      </c>
      <c r="L159" s="91">
        <f>'IEPR Gas Prices Real'!L161*(INDEX('GDP Deflator'!$D$6:$D$91,MATCH('IEPR Gas Prices Nominal'!$B159,'GDP Deflator'!$B$6:$B$91,0)))</f>
        <v>7.0340846936342833</v>
      </c>
      <c r="M159" s="91">
        <f>'IEPR Gas Prices Real'!M161*(INDEX('GDP Deflator'!$D$6:$D$91,MATCH('IEPR Gas Prices Nominal'!$B159,'GDP Deflator'!$B$6:$B$91,0)))</f>
        <v>1.3833892499436711</v>
      </c>
      <c r="N159" s="91">
        <f>'IEPR Gas Prices Real'!N161*(INDEX('GDP Deflator'!$D$6:$D$91,MATCH('IEPR Gas Prices Nominal'!$B159,'GDP Deflator'!$B$6:$B$91,0)))</f>
        <v>8.4174739435779529</v>
      </c>
      <c r="O159" s="19"/>
      <c r="P159" s="229">
        <f t="shared" si="17"/>
        <v>6.7495141640608907</v>
      </c>
      <c r="Q159" s="229">
        <f t="shared" si="21"/>
        <v>8.7784273699943096</v>
      </c>
      <c r="R159" s="144"/>
    </row>
    <row r="160" spans="2:18">
      <c r="B160" s="142">
        <f t="shared" si="18"/>
        <v>2034</v>
      </c>
      <c r="C160" s="19">
        <f t="shared" si="19"/>
        <v>11</v>
      </c>
      <c r="D160" s="143">
        <v>49249</v>
      </c>
      <c r="E160" s="19" t="str">
        <f t="shared" si="20"/>
        <v>11-2034</v>
      </c>
      <c r="F160" s="91">
        <f>'IEPR Gas Prices Real'!F162*(INDEX('GDP Deflator'!$D$6:$D$91,MATCH('IEPR Gas Prices Nominal'!$B160,'GDP Deflator'!$B$6:$B$91,0)))</f>
        <v>6.7642541584101981</v>
      </c>
      <c r="G160" s="91">
        <f>'IEPR Gas Prices Real'!G162*(INDEX('GDP Deflator'!$D$6:$D$91,MATCH('IEPR Gas Prices Nominal'!$B160,'GDP Deflator'!$B$6:$B$91,0)))</f>
        <v>1.7740178598062744</v>
      </c>
      <c r="H160" s="91">
        <f>'IEPR Gas Prices Real'!H162*(INDEX('GDP Deflator'!$D$6:$D$91,MATCH('IEPR Gas Prices Nominal'!$B160,'GDP Deflator'!$B$6:$B$91,0)))</f>
        <v>8.5382720182164711</v>
      </c>
      <c r="I160" s="91">
        <f>'IEPR Gas Prices Real'!I162*(INDEX('GDP Deflator'!$D$6:$D$91,MATCH('IEPR Gas Prices Nominal'!$B160,'GDP Deflator'!$B$6:$B$91,0)))</f>
        <v>7.1026881358609515</v>
      </c>
      <c r="J160" s="91">
        <f>'IEPR Gas Prices Real'!J162*(INDEX('GDP Deflator'!$D$6:$D$91,MATCH('IEPR Gas Prices Nominal'!$B160,'GDP Deflator'!$B$6:$B$91,0)))</f>
        <v>2.9293325080503103</v>
      </c>
      <c r="K160" s="91">
        <f>'IEPR Gas Prices Real'!K162*(INDEX('GDP Deflator'!$D$6:$D$91,MATCH('IEPR Gas Prices Nominal'!$B160,'GDP Deflator'!$B$6:$B$91,0)))</f>
        <v>10.032020643911261</v>
      </c>
      <c r="L160" s="91">
        <f>'IEPR Gas Prices Real'!L162*(INDEX('GDP Deflator'!$D$6:$D$91,MATCH('IEPR Gas Prices Nominal'!$B160,'GDP Deflator'!$B$6:$B$91,0)))</f>
        <v>7.382503680431582</v>
      </c>
      <c r="M160" s="91">
        <f>'IEPR Gas Prices Real'!M162*(INDEX('GDP Deflator'!$D$6:$D$91,MATCH('IEPR Gas Prices Nominal'!$B160,'GDP Deflator'!$B$6:$B$91,0)))</f>
        <v>1.3833892499436711</v>
      </c>
      <c r="N160" s="91">
        <f>'IEPR Gas Prices Real'!N162*(INDEX('GDP Deflator'!$D$6:$D$91,MATCH('IEPR Gas Prices Nominal'!$B160,'GDP Deflator'!$B$6:$B$91,0)))</f>
        <v>8.7658929303752533</v>
      </c>
      <c r="O160" s="19"/>
      <c r="P160" s="229">
        <f t="shared" si="17"/>
        <v>7.0831486582342436</v>
      </c>
      <c r="Q160" s="229">
        <f t="shared" si="21"/>
        <v>9.1120618641676625</v>
      </c>
      <c r="R160" s="144"/>
    </row>
    <row r="161" spans="2:18">
      <c r="B161" s="142">
        <f t="shared" si="18"/>
        <v>2034</v>
      </c>
      <c r="C161" s="19">
        <f t="shared" si="19"/>
        <v>12</v>
      </c>
      <c r="D161" s="143">
        <v>49279</v>
      </c>
      <c r="E161" s="19" t="str">
        <f t="shared" si="20"/>
        <v>12-2034</v>
      </c>
      <c r="F161" s="91">
        <f>'IEPR Gas Prices Real'!F163*(INDEX('GDP Deflator'!$D$6:$D$91,MATCH('IEPR Gas Prices Nominal'!$B161,'GDP Deflator'!$B$6:$B$91,0)))</f>
        <v>6.8183693139394768</v>
      </c>
      <c r="G161" s="91">
        <f>'IEPR Gas Prices Real'!G163*(INDEX('GDP Deflator'!$D$6:$D$91,MATCH('IEPR Gas Prices Nominal'!$B161,'GDP Deflator'!$B$6:$B$91,0)))</f>
        <v>1.7740178598062744</v>
      </c>
      <c r="H161" s="91">
        <f>'IEPR Gas Prices Real'!H163*(INDEX('GDP Deflator'!$D$6:$D$91,MATCH('IEPR Gas Prices Nominal'!$B161,'GDP Deflator'!$B$6:$B$91,0)))</f>
        <v>8.5923871737457507</v>
      </c>
      <c r="I161" s="91">
        <f>'IEPR Gas Prices Real'!I163*(INDEX('GDP Deflator'!$D$6:$D$91,MATCH('IEPR Gas Prices Nominal'!$B161,'GDP Deflator'!$B$6:$B$91,0)))</f>
        <v>7.1594415259074831</v>
      </c>
      <c r="J161" s="91">
        <f>'IEPR Gas Prices Real'!J163*(INDEX('GDP Deflator'!$D$6:$D$91,MATCH('IEPR Gas Prices Nominal'!$B161,'GDP Deflator'!$B$6:$B$91,0)))</f>
        <v>2.9293325080503103</v>
      </c>
      <c r="K161" s="91">
        <f>'IEPR Gas Prices Real'!K163*(INDEX('GDP Deflator'!$D$6:$D$91,MATCH('IEPR Gas Prices Nominal'!$B161,'GDP Deflator'!$B$6:$B$91,0)))</f>
        <v>10.088774033957792</v>
      </c>
      <c r="L161" s="91">
        <f>'IEPR Gas Prices Real'!L163*(INDEX('GDP Deflator'!$D$6:$D$91,MATCH('IEPR Gas Prices Nominal'!$B161,'GDP Deflator'!$B$6:$B$91,0)))</f>
        <v>7.4426371057048515</v>
      </c>
      <c r="M161" s="91">
        <f>'IEPR Gas Prices Real'!M163*(INDEX('GDP Deflator'!$D$6:$D$91,MATCH('IEPR Gas Prices Nominal'!$B161,'GDP Deflator'!$B$6:$B$91,0)))</f>
        <v>1.3833892499436711</v>
      </c>
      <c r="N161" s="91">
        <f>'IEPR Gas Prices Real'!N163*(INDEX('GDP Deflator'!$D$6:$D$91,MATCH('IEPR Gas Prices Nominal'!$B161,'GDP Deflator'!$B$6:$B$91,0)))</f>
        <v>8.8260263556485228</v>
      </c>
      <c r="O161" s="19"/>
      <c r="P161" s="229">
        <f t="shared" si="17"/>
        <v>7.1401493151839368</v>
      </c>
      <c r="Q161" s="229">
        <f t="shared" si="21"/>
        <v>9.1690625211173558</v>
      </c>
      <c r="R161" s="144"/>
    </row>
    <row r="162" spans="2:18">
      <c r="B162" s="142">
        <f t="shared" si="18"/>
        <v>2035</v>
      </c>
      <c r="C162" s="19">
        <f t="shared" si="19"/>
        <v>1</v>
      </c>
      <c r="D162" s="143">
        <v>49310</v>
      </c>
      <c r="E162" s="19" t="str">
        <f t="shared" si="20"/>
        <v>1-2035</v>
      </c>
      <c r="F162" s="91">
        <f>'IEPR Gas Prices Real'!F164*(INDEX('GDP Deflator'!$D$6:$D$91,MATCH('IEPR Gas Prices Nominal'!$B162,'GDP Deflator'!$B$6:$B$91,0)))</f>
        <v>6.9675617618809786</v>
      </c>
      <c r="G162" s="91">
        <f>'IEPR Gas Prices Real'!G164*(INDEX('GDP Deflator'!$D$6:$D$91,MATCH('IEPR Gas Prices Nominal'!$B162,'GDP Deflator'!$B$6:$B$91,0)))</f>
        <v>1.8853479244291285</v>
      </c>
      <c r="H162" s="91">
        <f>'IEPR Gas Prices Real'!H164*(INDEX('GDP Deflator'!$D$6:$D$91,MATCH('IEPR Gas Prices Nominal'!$B162,'GDP Deflator'!$B$6:$B$91,0)))</f>
        <v>8.852909686310106</v>
      </c>
      <c r="I162" s="91">
        <f>'IEPR Gas Prices Real'!I164*(INDEX('GDP Deflator'!$D$6:$D$91,MATCH('IEPR Gas Prices Nominal'!$B162,'GDP Deflator'!$B$6:$B$91,0)))</f>
        <v>7.3159991107181348</v>
      </c>
      <c r="J162" s="91">
        <f>'IEPR Gas Prices Real'!J164*(INDEX('GDP Deflator'!$D$6:$D$91,MATCH('IEPR Gas Prices Nominal'!$B162,'GDP Deflator'!$B$6:$B$91,0)))</f>
        <v>3.1131653683681209</v>
      </c>
      <c r="K162" s="91">
        <f>'IEPR Gas Prices Real'!K164*(INDEX('GDP Deflator'!$D$6:$D$91,MATCH('IEPR Gas Prices Nominal'!$B162,'GDP Deflator'!$B$6:$B$91,0)))</f>
        <v>10.429164479086255</v>
      </c>
      <c r="L162" s="91">
        <f>'IEPR Gas Prices Real'!L164*(INDEX('GDP Deflator'!$D$6:$D$91,MATCH('IEPR Gas Prices Nominal'!$B162,'GDP Deflator'!$B$6:$B$91,0)))</f>
        <v>7.6054166442171152</v>
      </c>
      <c r="M162" s="91">
        <f>'IEPR Gas Prices Real'!M164*(INDEX('GDP Deflator'!$D$6:$D$91,MATCH('IEPR Gas Prices Nominal'!$B162,'GDP Deflator'!$B$6:$B$91,0)))</f>
        <v>1.4702050696060556</v>
      </c>
      <c r="N162" s="91">
        <f>'IEPR Gas Prices Real'!N164*(INDEX('GDP Deflator'!$D$6:$D$91,MATCH('IEPR Gas Prices Nominal'!$B162,'GDP Deflator'!$B$6:$B$91,0)))</f>
        <v>9.0756217138231712</v>
      </c>
      <c r="O162" s="19"/>
      <c r="P162" s="229">
        <f t="shared" si="17"/>
        <v>7.2963258389387429</v>
      </c>
      <c r="Q162" s="229">
        <f t="shared" si="21"/>
        <v>9.4525652930731763</v>
      </c>
      <c r="R162" s="144"/>
    </row>
    <row r="163" spans="2:18">
      <c r="B163" s="142">
        <f t="shared" si="18"/>
        <v>2035</v>
      </c>
      <c r="C163" s="19">
        <f t="shared" si="19"/>
        <v>2</v>
      </c>
      <c r="D163" s="143">
        <v>49341</v>
      </c>
      <c r="E163" s="19" t="str">
        <f t="shared" si="20"/>
        <v>2-2035</v>
      </c>
      <c r="F163" s="91">
        <f>'IEPR Gas Prices Real'!F165*(INDEX('GDP Deflator'!$D$6:$D$91,MATCH('IEPR Gas Prices Nominal'!$B163,'GDP Deflator'!$B$6:$B$91,0)))</f>
        <v>6.8144015351880869</v>
      </c>
      <c r="G163" s="91">
        <f>'IEPR Gas Prices Real'!G165*(INDEX('GDP Deflator'!$D$6:$D$91,MATCH('IEPR Gas Prices Nominal'!$B163,'GDP Deflator'!$B$6:$B$91,0)))</f>
        <v>1.8853479244291285</v>
      </c>
      <c r="H163" s="91">
        <f>'IEPR Gas Prices Real'!H165*(INDEX('GDP Deflator'!$D$6:$D$91,MATCH('IEPR Gas Prices Nominal'!$B163,'GDP Deflator'!$B$6:$B$91,0)))</f>
        <v>8.699749459617216</v>
      </c>
      <c r="I163" s="91">
        <f>'IEPR Gas Prices Real'!I165*(INDEX('GDP Deflator'!$D$6:$D$91,MATCH('IEPR Gas Prices Nominal'!$B163,'GDP Deflator'!$B$6:$B$91,0)))</f>
        <v>7.1550838522037967</v>
      </c>
      <c r="J163" s="91">
        <f>'IEPR Gas Prices Real'!J165*(INDEX('GDP Deflator'!$D$6:$D$91,MATCH('IEPR Gas Prices Nominal'!$B163,'GDP Deflator'!$B$6:$B$91,0)))</f>
        <v>3.1131653683681209</v>
      </c>
      <c r="K163" s="91">
        <f>'IEPR Gas Prices Real'!K165*(INDEX('GDP Deflator'!$D$6:$D$91,MATCH('IEPR Gas Prices Nominal'!$B163,'GDP Deflator'!$B$6:$B$91,0)))</f>
        <v>10.268249220571917</v>
      </c>
      <c r="L163" s="91">
        <f>'IEPR Gas Prices Real'!L165*(INDEX('GDP Deflator'!$D$6:$D$91,MATCH('IEPR Gas Prices Nominal'!$B163,'GDP Deflator'!$B$6:$B$91,0)))</f>
        <v>7.4381642499453022</v>
      </c>
      <c r="M163" s="91">
        <f>'IEPR Gas Prices Real'!M165*(INDEX('GDP Deflator'!$D$6:$D$91,MATCH('IEPR Gas Prices Nominal'!$B163,'GDP Deflator'!$B$6:$B$91,0)))</f>
        <v>1.4702050696060556</v>
      </c>
      <c r="N163" s="91">
        <f>'IEPR Gas Prices Real'!N165*(INDEX('GDP Deflator'!$D$6:$D$91,MATCH('IEPR Gas Prices Nominal'!$B163,'GDP Deflator'!$B$6:$B$91,0)))</f>
        <v>8.9083693195513582</v>
      </c>
      <c r="O163" s="19"/>
      <c r="P163" s="229">
        <f t="shared" si="17"/>
        <v>7.1358832124457292</v>
      </c>
      <c r="Q163" s="229">
        <f t="shared" si="21"/>
        <v>9.2921226665801644</v>
      </c>
      <c r="R163" s="144"/>
    </row>
    <row r="164" spans="2:18">
      <c r="B164" s="142">
        <f t="shared" si="18"/>
        <v>2035</v>
      </c>
      <c r="C164" s="19">
        <f t="shared" si="19"/>
        <v>3</v>
      </c>
      <c r="D164" s="143">
        <v>49369</v>
      </c>
      <c r="E164" s="19" t="str">
        <f t="shared" si="20"/>
        <v>3-2035</v>
      </c>
      <c r="F164" s="91">
        <f>'IEPR Gas Prices Real'!F166*(INDEX('GDP Deflator'!$D$6:$D$91,MATCH('IEPR Gas Prices Nominal'!$B164,'GDP Deflator'!$B$6:$B$91,0)))</f>
        <v>6.2552746779559385</v>
      </c>
      <c r="G164" s="91">
        <f>'IEPR Gas Prices Real'!G166*(INDEX('GDP Deflator'!$D$6:$D$91,MATCH('IEPR Gas Prices Nominal'!$B164,'GDP Deflator'!$B$6:$B$91,0)))</f>
        <v>1.8853479244291285</v>
      </c>
      <c r="H164" s="91">
        <f>'IEPR Gas Prices Real'!H166*(INDEX('GDP Deflator'!$D$6:$D$91,MATCH('IEPR Gas Prices Nominal'!$B164,'GDP Deflator'!$B$6:$B$91,0)))</f>
        <v>8.1406226023850667</v>
      </c>
      <c r="I164" s="91">
        <f>'IEPR Gas Prices Real'!I166*(INDEX('GDP Deflator'!$D$6:$D$91,MATCH('IEPR Gas Prices Nominal'!$B164,'GDP Deflator'!$B$6:$B$91,0)))</f>
        <v>6.5679158686846755</v>
      </c>
      <c r="J164" s="91">
        <f>'IEPR Gas Prices Real'!J166*(INDEX('GDP Deflator'!$D$6:$D$91,MATCH('IEPR Gas Prices Nominal'!$B164,'GDP Deflator'!$B$6:$B$91,0)))</f>
        <v>3.1131653683681209</v>
      </c>
      <c r="K164" s="91">
        <f>'IEPR Gas Prices Real'!K166*(INDEX('GDP Deflator'!$D$6:$D$91,MATCH('IEPR Gas Prices Nominal'!$B164,'GDP Deflator'!$B$6:$B$91,0)))</f>
        <v>9.6810812370527977</v>
      </c>
      <c r="L164" s="91">
        <f>'IEPR Gas Prices Real'!L166*(INDEX('GDP Deflator'!$D$6:$D$91,MATCH('IEPR Gas Prices Nominal'!$B164,'GDP Deflator'!$B$6:$B$91,0)))</f>
        <v>6.8277920828393555</v>
      </c>
      <c r="M164" s="91">
        <f>'IEPR Gas Prices Real'!M166*(INDEX('GDP Deflator'!$D$6:$D$91,MATCH('IEPR Gas Prices Nominal'!$B164,'GDP Deflator'!$B$6:$B$91,0)))</f>
        <v>1.4702050696060556</v>
      </c>
      <c r="N164" s="91">
        <f>'IEPR Gas Prices Real'!N166*(INDEX('GDP Deflator'!$D$6:$D$91,MATCH('IEPR Gas Prices Nominal'!$B164,'GDP Deflator'!$B$6:$B$91,0)))</f>
        <v>8.2979971524454097</v>
      </c>
      <c r="O164" s="19"/>
      <c r="P164" s="229">
        <f t="shared" si="17"/>
        <v>6.5503275431599901</v>
      </c>
      <c r="Q164" s="229">
        <f t="shared" si="21"/>
        <v>8.7065669972944253</v>
      </c>
      <c r="R164" s="144"/>
    </row>
    <row r="165" spans="2:18">
      <c r="B165" s="142">
        <f t="shared" si="18"/>
        <v>2035</v>
      </c>
      <c r="C165" s="19">
        <f t="shared" si="19"/>
        <v>4</v>
      </c>
      <c r="D165" s="143">
        <v>49400</v>
      </c>
      <c r="E165" s="19" t="str">
        <f t="shared" si="20"/>
        <v>4-2035</v>
      </c>
      <c r="F165" s="91">
        <f>'IEPR Gas Prices Real'!F167*(INDEX('GDP Deflator'!$D$6:$D$91,MATCH('IEPR Gas Prices Nominal'!$B165,'GDP Deflator'!$B$6:$B$91,0)))</f>
        <v>6.1484803953980149</v>
      </c>
      <c r="G165" s="91">
        <f>'IEPR Gas Prices Real'!G167*(INDEX('GDP Deflator'!$D$6:$D$91,MATCH('IEPR Gas Prices Nominal'!$B165,'GDP Deflator'!$B$6:$B$91,0)))</f>
        <v>1.8853479244291285</v>
      </c>
      <c r="H165" s="91">
        <f>'IEPR Gas Prices Real'!H167*(INDEX('GDP Deflator'!$D$6:$D$91,MATCH('IEPR Gas Prices Nominal'!$B165,'GDP Deflator'!$B$6:$B$91,0)))</f>
        <v>8.0338283198271423</v>
      </c>
      <c r="I165" s="91">
        <f>'IEPR Gas Prices Real'!I167*(INDEX('GDP Deflator'!$D$6:$D$91,MATCH('IEPR Gas Prices Nominal'!$B165,'GDP Deflator'!$B$6:$B$91,0)))</f>
        <v>6.4556975656281121</v>
      </c>
      <c r="J165" s="91">
        <f>'IEPR Gas Prices Real'!J167*(INDEX('GDP Deflator'!$D$6:$D$91,MATCH('IEPR Gas Prices Nominal'!$B165,'GDP Deflator'!$B$6:$B$91,0)))</f>
        <v>3.1131653683681209</v>
      </c>
      <c r="K165" s="91">
        <f>'IEPR Gas Prices Real'!K167*(INDEX('GDP Deflator'!$D$6:$D$91,MATCH('IEPR Gas Prices Nominal'!$B165,'GDP Deflator'!$B$6:$B$91,0)))</f>
        <v>9.5688629339962343</v>
      </c>
      <c r="L165" s="91">
        <f>'IEPR Gas Prices Real'!L167*(INDEX('GDP Deflator'!$D$6:$D$91,MATCH('IEPR Gas Prices Nominal'!$B165,'GDP Deflator'!$B$6:$B$91,0)))</f>
        <v>6.7111593922776143</v>
      </c>
      <c r="M165" s="91">
        <f>'IEPR Gas Prices Real'!M167*(INDEX('GDP Deflator'!$D$6:$D$91,MATCH('IEPR Gas Prices Nominal'!$B165,'GDP Deflator'!$B$6:$B$91,0)))</f>
        <v>1.4702050696060556</v>
      </c>
      <c r="N165" s="91">
        <f>'IEPR Gas Prices Real'!N167*(INDEX('GDP Deflator'!$D$6:$D$91,MATCH('IEPR Gas Prices Nominal'!$B165,'GDP Deflator'!$B$6:$B$91,0)))</f>
        <v>8.1813644618836694</v>
      </c>
      <c r="O165" s="19"/>
      <c r="P165" s="229">
        <f t="shared" si="17"/>
        <v>6.438445784434581</v>
      </c>
      <c r="Q165" s="229">
        <f t="shared" si="21"/>
        <v>8.5946852385690153</v>
      </c>
      <c r="R165" s="144"/>
    </row>
    <row r="166" spans="2:18">
      <c r="B166" s="142">
        <f t="shared" si="18"/>
        <v>2035</v>
      </c>
      <c r="C166" s="19">
        <f t="shared" si="19"/>
        <v>5</v>
      </c>
      <c r="D166" s="143">
        <v>49430</v>
      </c>
      <c r="E166" s="19" t="str">
        <f t="shared" si="20"/>
        <v>5-2035</v>
      </c>
      <c r="F166" s="91">
        <f>'IEPR Gas Prices Real'!F168*(INDEX('GDP Deflator'!$D$6:$D$91,MATCH('IEPR Gas Prices Nominal'!$B166,'GDP Deflator'!$B$6:$B$91,0)))</f>
        <v>6.3620952048171304</v>
      </c>
      <c r="G166" s="91">
        <f>'IEPR Gas Prices Real'!G168*(INDEX('GDP Deflator'!$D$6:$D$91,MATCH('IEPR Gas Prices Nominal'!$B166,'GDP Deflator'!$B$6:$B$91,0)))</f>
        <v>1.8853479244291285</v>
      </c>
      <c r="H166" s="91">
        <f>'IEPR Gas Prices Real'!H168*(INDEX('GDP Deflator'!$D$6:$D$91,MATCH('IEPR Gas Prices Nominal'!$B166,'GDP Deflator'!$B$6:$B$91,0)))</f>
        <v>8.2474431292462587</v>
      </c>
      <c r="I166" s="91">
        <f>'IEPR Gas Prices Real'!I168*(INDEX('GDP Deflator'!$D$6:$D$91,MATCH('IEPR Gas Prices Nominal'!$B166,'GDP Deflator'!$B$6:$B$91,0)))</f>
        <v>6.6798965109297468</v>
      </c>
      <c r="J166" s="91">
        <f>'IEPR Gas Prices Real'!J168*(INDEX('GDP Deflator'!$D$6:$D$91,MATCH('IEPR Gas Prices Nominal'!$B166,'GDP Deflator'!$B$6:$B$91,0)))</f>
        <v>3.1131653683681209</v>
      </c>
      <c r="K166" s="91">
        <f>'IEPR Gas Prices Real'!K168*(INDEX('GDP Deflator'!$D$6:$D$91,MATCH('IEPR Gas Prices Nominal'!$B166,'GDP Deflator'!$B$6:$B$91,0)))</f>
        <v>9.7930618792978681</v>
      </c>
      <c r="L166" s="91">
        <f>'IEPR Gas Prices Real'!L168*(INDEX('GDP Deflator'!$D$6:$D$91,MATCH('IEPR Gas Prices Nominal'!$B166,'GDP Deflator'!$B$6:$B$91,0)))</f>
        <v>6.944256948953381</v>
      </c>
      <c r="M166" s="91">
        <f>'IEPR Gas Prices Real'!M168*(INDEX('GDP Deflator'!$D$6:$D$91,MATCH('IEPR Gas Prices Nominal'!$B166,'GDP Deflator'!$B$6:$B$91,0)))</f>
        <v>1.4702050696060556</v>
      </c>
      <c r="N166" s="91">
        <f>'IEPR Gas Prices Real'!N168*(INDEX('GDP Deflator'!$D$6:$D$91,MATCH('IEPR Gas Prices Nominal'!$B166,'GDP Deflator'!$B$6:$B$91,0)))</f>
        <v>8.414462018559437</v>
      </c>
      <c r="O166" s="19"/>
      <c r="P166" s="229">
        <f t="shared" si="17"/>
        <v>6.66208288823342</v>
      </c>
      <c r="Q166" s="229">
        <f t="shared" si="21"/>
        <v>8.8183223423678552</v>
      </c>
      <c r="R166" s="144"/>
    </row>
    <row r="167" spans="2:18">
      <c r="B167" s="142">
        <f t="shared" si="18"/>
        <v>2035</v>
      </c>
      <c r="C167" s="19">
        <f t="shared" si="19"/>
        <v>6</v>
      </c>
      <c r="D167" s="143">
        <v>49461</v>
      </c>
      <c r="E167" s="19" t="str">
        <f t="shared" si="20"/>
        <v>6-2035</v>
      </c>
      <c r="F167" s="91">
        <f>'IEPR Gas Prices Real'!F169*(INDEX('GDP Deflator'!$D$6:$D$91,MATCH('IEPR Gas Prices Nominal'!$B167,'GDP Deflator'!$B$6:$B$91,0)))</f>
        <v>6.5261893025136102</v>
      </c>
      <c r="G167" s="91">
        <f>'IEPR Gas Prices Real'!G169*(INDEX('GDP Deflator'!$D$6:$D$91,MATCH('IEPR Gas Prices Nominal'!$B167,'GDP Deflator'!$B$6:$B$91,0)))</f>
        <v>1.8853479244291285</v>
      </c>
      <c r="H167" s="91">
        <f>'IEPR Gas Prices Real'!H169*(INDEX('GDP Deflator'!$D$6:$D$91,MATCH('IEPR Gas Prices Nominal'!$B167,'GDP Deflator'!$B$6:$B$91,0)))</f>
        <v>8.4115372269427375</v>
      </c>
      <c r="I167" s="91">
        <f>'IEPR Gas Prices Real'!I169*(INDEX('GDP Deflator'!$D$6:$D$91,MATCH('IEPR Gas Prices Nominal'!$B167,'GDP Deflator'!$B$6:$B$91,0)))</f>
        <v>6.8520957439781478</v>
      </c>
      <c r="J167" s="91">
        <f>'IEPR Gas Prices Real'!J169*(INDEX('GDP Deflator'!$D$6:$D$91,MATCH('IEPR Gas Prices Nominal'!$B167,'GDP Deflator'!$B$6:$B$91,0)))</f>
        <v>3.1131653683681209</v>
      </c>
      <c r="K167" s="91">
        <f>'IEPR Gas Prices Real'!K169*(INDEX('GDP Deflator'!$D$6:$D$91,MATCH('IEPR Gas Prices Nominal'!$B167,'GDP Deflator'!$B$6:$B$91,0)))</f>
        <v>9.9652611123462673</v>
      </c>
      <c r="L167" s="91">
        <f>'IEPR Gas Prices Real'!L169*(INDEX('GDP Deflator'!$D$6:$D$91,MATCH('IEPR Gas Prices Nominal'!$B167,'GDP Deflator'!$B$6:$B$91,0)))</f>
        <v>7.1232984688535623</v>
      </c>
      <c r="M167" s="91">
        <f>'IEPR Gas Prices Real'!M169*(INDEX('GDP Deflator'!$D$6:$D$91,MATCH('IEPR Gas Prices Nominal'!$B167,'GDP Deflator'!$B$6:$B$91,0)))</f>
        <v>1.4702050696060556</v>
      </c>
      <c r="N167" s="91">
        <f>'IEPR Gas Prices Real'!N169*(INDEX('GDP Deflator'!$D$6:$D$91,MATCH('IEPR Gas Prices Nominal'!$B167,'GDP Deflator'!$B$6:$B$91,0)))</f>
        <v>8.5935035384596183</v>
      </c>
      <c r="O167" s="19"/>
      <c r="P167" s="229">
        <f t="shared" si="17"/>
        <v>6.8338611717817734</v>
      </c>
      <c r="Q167" s="229">
        <f t="shared" si="21"/>
        <v>8.9901006259162077</v>
      </c>
      <c r="R167" s="144"/>
    </row>
    <row r="168" spans="2:18">
      <c r="B168" s="142">
        <f t="shared" si="18"/>
        <v>2035</v>
      </c>
      <c r="C168" s="19">
        <f t="shared" si="19"/>
        <v>7</v>
      </c>
      <c r="D168" s="143">
        <v>49491</v>
      </c>
      <c r="E168" s="19" t="str">
        <f t="shared" si="20"/>
        <v>7-2035</v>
      </c>
      <c r="F168" s="91">
        <f>'IEPR Gas Prices Real'!F170*(INDEX('GDP Deflator'!$D$6:$D$91,MATCH('IEPR Gas Prices Nominal'!$B168,'GDP Deflator'!$B$6:$B$91,0)))</f>
        <v>6.5775825107954216</v>
      </c>
      <c r="G168" s="91">
        <f>'IEPR Gas Prices Real'!G170*(INDEX('GDP Deflator'!$D$6:$D$91,MATCH('IEPR Gas Prices Nominal'!$B168,'GDP Deflator'!$B$6:$B$91,0)))</f>
        <v>1.8853479244291285</v>
      </c>
      <c r="H168" s="91">
        <f>'IEPR Gas Prices Real'!H170*(INDEX('GDP Deflator'!$D$6:$D$91,MATCH('IEPR Gas Prices Nominal'!$B168,'GDP Deflator'!$B$6:$B$91,0)))</f>
        <v>8.4629304352245498</v>
      </c>
      <c r="I168" s="91">
        <f>'IEPR Gas Prices Real'!I170*(INDEX('GDP Deflator'!$D$6:$D$91,MATCH('IEPR Gas Prices Nominal'!$B168,'GDP Deflator'!$B$6:$B$91,0)))</f>
        <v>6.9059629552610531</v>
      </c>
      <c r="J168" s="91">
        <f>'IEPR Gas Prices Real'!J170*(INDEX('GDP Deflator'!$D$6:$D$91,MATCH('IEPR Gas Prices Nominal'!$B168,'GDP Deflator'!$B$6:$B$91,0)))</f>
        <v>3.1131653683681209</v>
      </c>
      <c r="K168" s="91">
        <f>'IEPR Gas Prices Real'!K170*(INDEX('GDP Deflator'!$D$6:$D$91,MATCH('IEPR Gas Prices Nominal'!$B168,'GDP Deflator'!$B$6:$B$91,0)))</f>
        <v>10.019128323629173</v>
      </c>
      <c r="L168" s="91">
        <f>'IEPR Gas Prices Real'!L170*(INDEX('GDP Deflator'!$D$6:$D$91,MATCH('IEPR Gas Prices Nominal'!$B168,'GDP Deflator'!$B$6:$B$91,0)))</f>
        <v>7.1793253518677016</v>
      </c>
      <c r="M168" s="91">
        <f>'IEPR Gas Prices Real'!M170*(INDEX('GDP Deflator'!$D$6:$D$91,MATCH('IEPR Gas Prices Nominal'!$B168,'GDP Deflator'!$B$6:$B$91,0)))</f>
        <v>1.4702050696060556</v>
      </c>
      <c r="N168" s="91">
        <f>'IEPR Gas Prices Real'!N170*(INDEX('GDP Deflator'!$D$6:$D$91,MATCH('IEPR Gas Prices Nominal'!$B168,'GDP Deflator'!$B$6:$B$91,0)))</f>
        <v>8.6495304214737576</v>
      </c>
      <c r="O168" s="19"/>
      <c r="P168" s="229">
        <f t="shared" si="17"/>
        <v>6.8876236059747251</v>
      </c>
      <c r="Q168" s="229">
        <f t="shared" si="21"/>
        <v>9.0438630601091603</v>
      </c>
      <c r="R168" s="144"/>
    </row>
    <row r="169" spans="2:18">
      <c r="B169" s="142">
        <f t="shared" si="18"/>
        <v>2035</v>
      </c>
      <c r="C169" s="19">
        <f t="shared" si="19"/>
        <v>8</v>
      </c>
      <c r="D169" s="143">
        <v>49522</v>
      </c>
      <c r="E169" s="19" t="str">
        <f t="shared" si="20"/>
        <v>8-2035</v>
      </c>
      <c r="F169" s="91">
        <f>'IEPR Gas Prices Real'!F171*(INDEX('GDP Deflator'!$D$6:$D$91,MATCH('IEPR Gas Prices Nominal'!$B169,'GDP Deflator'!$B$6:$B$91,0)))</f>
        <v>6.5263978023613332</v>
      </c>
      <c r="G169" s="91">
        <f>'IEPR Gas Prices Real'!G171*(INDEX('GDP Deflator'!$D$6:$D$91,MATCH('IEPR Gas Prices Nominal'!$B169,'GDP Deflator'!$B$6:$B$91,0)))</f>
        <v>1.8853479244291285</v>
      </c>
      <c r="H169" s="91">
        <f>'IEPR Gas Prices Real'!H171*(INDEX('GDP Deflator'!$D$6:$D$91,MATCH('IEPR Gas Prices Nominal'!$B169,'GDP Deflator'!$B$6:$B$91,0)))</f>
        <v>8.4117457267904623</v>
      </c>
      <c r="I169" s="91">
        <f>'IEPR Gas Prices Real'!I171*(INDEX('GDP Deflator'!$D$6:$D$91,MATCH('IEPR Gas Prices Nominal'!$B169,'GDP Deflator'!$B$6:$B$91,0)))</f>
        <v>6.8521311097050868</v>
      </c>
      <c r="J169" s="91">
        <f>'IEPR Gas Prices Real'!J171*(INDEX('GDP Deflator'!$D$6:$D$91,MATCH('IEPR Gas Prices Nominal'!$B169,'GDP Deflator'!$B$6:$B$91,0)))</f>
        <v>3.1131653683681209</v>
      </c>
      <c r="K169" s="91">
        <f>'IEPR Gas Prices Real'!K171*(INDEX('GDP Deflator'!$D$6:$D$91,MATCH('IEPR Gas Prices Nominal'!$B169,'GDP Deflator'!$B$6:$B$91,0)))</f>
        <v>9.9652964780732081</v>
      </c>
      <c r="L169" s="91">
        <f>'IEPR Gas Prices Real'!L171*(INDEX('GDP Deflator'!$D$6:$D$91,MATCH('IEPR Gas Prices Nominal'!$B169,'GDP Deflator'!$B$6:$B$91,0)))</f>
        <v>7.1233900754725576</v>
      </c>
      <c r="M169" s="91">
        <f>'IEPR Gas Prices Real'!M171*(INDEX('GDP Deflator'!$D$6:$D$91,MATCH('IEPR Gas Prices Nominal'!$B169,'GDP Deflator'!$B$6:$B$91,0)))</f>
        <v>1.4702050696060556</v>
      </c>
      <c r="N169" s="91">
        <f>'IEPR Gas Prices Real'!N171*(INDEX('GDP Deflator'!$D$6:$D$91,MATCH('IEPR Gas Prices Nominal'!$B169,'GDP Deflator'!$B$6:$B$91,0)))</f>
        <v>8.5935951450786146</v>
      </c>
      <c r="O169" s="19"/>
      <c r="P169" s="229">
        <f t="shared" si="17"/>
        <v>6.8339729958463264</v>
      </c>
      <c r="Q169" s="229">
        <f t="shared" si="21"/>
        <v>8.9902124499807616</v>
      </c>
      <c r="R169" s="144"/>
    </row>
    <row r="170" spans="2:18">
      <c r="B170" s="142">
        <f t="shared" si="18"/>
        <v>2035</v>
      </c>
      <c r="C170" s="19">
        <f t="shared" si="19"/>
        <v>9</v>
      </c>
      <c r="D170" s="143">
        <v>49553</v>
      </c>
      <c r="E170" s="19" t="str">
        <f t="shared" si="20"/>
        <v>9-2035</v>
      </c>
      <c r="F170" s="91">
        <f>'IEPR Gas Prices Real'!F172*(INDEX('GDP Deflator'!$D$6:$D$91,MATCH('IEPR Gas Prices Nominal'!$B170,'GDP Deflator'!$B$6:$B$91,0)))</f>
        <v>6.6178130946112308</v>
      </c>
      <c r="G170" s="91">
        <f>'IEPR Gas Prices Real'!G172*(INDEX('GDP Deflator'!$D$6:$D$91,MATCH('IEPR Gas Prices Nominal'!$B170,'GDP Deflator'!$B$6:$B$91,0)))</f>
        <v>1.8853479244291285</v>
      </c>
      <c r="H170" s="91">
        <f>'IEPR Gas Prices Real'!H172*(INDEX('GDP Deflator'!$D$6:$D$91,MATCH('IEPR Gas Prices Nominal'!$B170,'GDP Deflator'!$B$6:$B$91,0)))</f>
        <v>8.503161019040359</v>
      </c>
      <c r="I170" s="91">
        <f>'IEPR Gas Prices Real'!I172*(INDEX('GDP Deflator'!$D$6:$D$91,MATCH('IEPR Gas Prices Nominal'!$B170,'GDP Deflator'!$B$6:$B$91,0)))</f>
        <v>6.9480158638340077</v>
      </c>
      <c r="J170" s="91">
        <f>'IEPR Gas Prices Real'!J172*(INDEX('GDP Deflator'!$D$6:$D$91,MATCH('IEPR Gas Prices Nominal'!$B170,'GDP Deflator'!$B$6:$B$91,0)))</f>
        <v>3.1131653683681209</v>
      </c>
      <c r="K170" s="91">
        <f>'IEPR Gas Prices Real'!K172*(INDEX('GDP Deflator'!$D$6:$D$91,MATCH('IEPR Gas Prices Nominal'!$B170,'GDP Deflator'!$B$6:$B$91,0)))</f>
        <v>10.061181232202129</v>
      </c>
      <c r="L170" s="91">
        <f>'IEPR Gas Prices Real'!L172*(INDEX('GDP Deflator'!$D$6:$D$91,MATCH('IEPR Gas Prices Nominal'!$B170,'GDP Deflator'!$B$6:$B$91,0)))</f>
        <v>7.2230984841823371</v>
      </c>
      <c r="M170" s="91">
        <f>'IEPR Gas Prices Real'!M172*(INDEX('GDP Deflator'!$D$6:$D$91,MATCH('IEPR Gas Prices Nominal'!$B170,'GDP Deflator'!$B$6:$B$91,0)))</f>
        <v>1.4702050696060556</v>
      </c>
      <c r="N170" s="91">
        <f>'IEPR Gas Prices Real'!N172*(INDEX('GDP Deflator'!$D$6:$D$91,MATCH('IEPR Gas Prices Nominal'!$B170,'GDP Deflator'!$B$6:$B$91,0)))</f>
        <v>8.6933035537883931</v>
      </c>
      <c r="O170" s="19"/>
      <c r="P170" s="229">
        <f t="shared" si="17"/>
        <v>6.9296424808758585</v>
      </c>
      <c r="Q170" s="229">
        <f t="shared" si="21"/>
        <v>9.0858819350102937</v>
      </c>
      <c r="R170" s="144"/>
    </row>
    <row r="171" spans="2:18">
      <c r="B171" s="142">
        <f t="shared" si="18"/>
        <v>2035</v>
      </c>
      <c r="C171" s="19">
        <f t="shared" si="19"/>
        <v>10</v>
      </c>
      <c r="D171" s="143">
        <v>49583</v>
      </c>
      <c r="E171" s="19" t="str">
        <f t="shared" si="20"/>
        <v>10-2035</v>
      </c>
      <c r="F171" s="91">
        <f>'IEPR Gas Prices Real'!F173*(INDEX('GDP Deflator'!$D$6:$D$91,MATCH('IEPR Gas Prices Nominal'!$B171,'GDP Deflator'!$B$6:$B$91,0)))</f>
        <v>6.5792958902371499</v>
      </c>
      <c r="G171" s="91">
        <f>'IEPR Gas Prices Real'!G173*(INDEX('GDP Deflator'!$D$6:$D$91,MATCH('IEPR Gas Prices Nominal'!$B171,'GDP Deflator'!$B$6:$B$91,0)))</f>
        <v>1.8853479244291285</v>
      </c>
      <c r="H171" s="91">
        <f>'IEPR Gas Prices Real'!H173*(INDEX('GDP Deflator'!$D$6:$D$91,MATCH('IEPR Gas Prices Nominal'!$B171,'GDP Deflator'!$B$6:$B$91,0)))</f>
        <v>8.4646438146662781</v>
      </c>
      <c r="I171" s="91">
        <f>'IEPR Gas Prices Real'!I173*(INDEX('GDP Deflator'!$D$6:$D$91,MATCH('IEPR Gas Prices Nominal'!$B171,'GDP Deflator'!$B$6:$B$91,0)))</f>
        <v>6.9074842397280261</v>
      </c>
      <c r="J171" s="91">
        <f>'IEPR Gas Prices Real'!J173*(INDEX('GDP Deflator'!$D$6:$D$91,MATCH('IEPR Gas Prices Nominal'!$B171,'GDP Deflator'!$B$6:$B$91,0)))</f>
        <v>3.1131653683681209</v>
      </c>
      <c r="K171" s="91">
        <f>'IEPR Gas Prices Real'!K173*(INDEX('GDP Deflator'!$D$6:$D$91,MATCH('IEPR Gas Prices Nominal'!$B171,'GDP Deflator'!$B$6:$B$91,0)))</f>
        <v>10.020649608096146</v>
      </c>
      <c r="L171" s="91">
        <f>'IEPR Gas Prices Real'!L173*(INDEX('GDP Deflator'!$D$6:$D$91,MATCH('IEPR Gas Prices Nominal'!$B171,'GDP Deflator'!$B$6:$B$91,0)))</f>
        <v>7.1809898085540507</v>
      </c>
      <c r="M171" s="91">
        <f>'IEPR Gas Prices Real'!M173*(INDEX('GDP Deflator'!$D$6:$D$91,MATCH('IEPR Gas Prices Nominal'!$B171,'GDP Deflator'!$B$6:$B$91,0)))</f>
        <v>1.4702050696060556</v>
      </c>
      <c r="N171" s="91">
        <f>'IEPR Gas Prices Real'!N173*(INDEX('GDP Deflator'!$D$6:$D$91,MATCH('IEPR Gas Prices Nominal'!$B171,'GDP Deflator'!$B$6:$B$91,0)))</f>
        <v>8.6511948781601067</v>
      </c>
      <c r="O171" s="19"/>
      <c r="P171" s="229">
        <f t="shared" si="17"/>
        <v>6.8892566461730764</v>
      </c>
      <c r="Q171" s="229">
        <f t="shared" si="21"/>
        <v>9.0454961003075098</v>
      </c>
      <c r="R171" s="144"/>
    </row>
    <row r="172" spans="2:18">
      <c r="B172" s="142">
        <f t="shared" si="18"/>
        <v>2035</v>
      </c>
      <c r="C172" s="19">
        <f t="shared" si="19"/>
        <v>11</v>
      </c>
      <c r="D172" s="143">
        <v>49614</v>
      </c>
      <c r="E172" s="19" t="str">
        <f t="shared" si="20"/>
        <v>11-2035</v>
      </c>
      <c r="F172" s="91">
        <f>'IEPR Gas Prices Real'!F174*(INDEX('GDP Deflator'!$D$6:$D$91,MATCH('IEPR Gas Prices Nominal'!$B172,'GDP Deflator'!$B$6:$B$91,0)))</f>
        <v>6.9040887913611337</v>
      </c>
      <c r="G172" s="91">
        <f>'IEPR Gas Prices Real'!G174*(INDEX('GDP Deflator'!$D$6:$D$91,MATCH('IEPR Gas Prices Nominal'!$B172,'GDP Deflator'!$B$6:$B$91,0)))</f>
        <v>1.8853479244291285</v>
      </c>
      <c r="H172" s="91">
        <f>'IEPR Gas Prices Real'!H174*(INDEX('GDP Deflator'!$D$6:$D$91,MATCH('IEPR Gas Prices Nominal'!$B172,'GDP Deflator'!$B$6:$B$91,0)))</f>
        <v>8.7894367157902611</v>
      </c>
      <c r="I172" s="91">
        <f>'IEPR Gas Prices Real'!I174*(INDEX('GDP Deflator'!$D$6:$D$91,MATCH('IEPR Gas Prices Nominal'!$B172,'GDP Deflator'!$B$6:$B$91,0)))</f>
        <v>7.2483813039616471</v>
      </c>
      <c r="J172" s="91">
        <f>'IEPR Gas Prices Real'!J174*(INDEX('GDP Deflator'!$D$6:$D$91,MATCH('IEPR Gas Prices Nominal'!$B172,'GDP Deflator'!$B$6:$B$91,0)))</f>
        <v>3.1131653683681209</v>
      </c>
      <c r="K172" s="91">
        <f>'IEPR Gas Prices Real'!K174*(INDEX('GDP Deflator'!$D$6:$D$91,MATCH('IEPR Gas Prices Nominal'!$B172,'GDP Deflator'!$B$6:$B$91,0)))</f>
        <v>10.361546672329769</v>
      </c>
      <c r="L172" s="91">
        <f>'IEPR Gas Prices Real'!L174*(INDEX('GDP Deflator'!$D$6:$D$91,MATCH('IEPR Gas Prices Nominal'!$B172,'GDP Deflator'!$B$6:$B$91,0)))</f>
        <v>7.5354139054153171</v>
      </c>
      <c r="M172" s="91">
        <f>'IEPR Gas Prices Real'!M174*(INDEX('GDP Deflator'!$D$6:$D$91,MATCH('IEPR Gas Prices Nominal'!$B172,'GDP Deflator'!$B$6:$B$91,0)))</f>
        <v>1.4702050696060556</v>
      </c>
      <c r="N172" s="91">
        <f>'IEPR Gas Prices Real'!N174*(INDEX('GDP Deflator'!$D$6:$D$91,MATCH('IEPR Gas Prices Nominal'!$B172,'GDP Deflator'!$B$6:$B$91,0)))</f>
        <v>9.005618975021374</v>
      </c>
      <c r="O172" s="19"/>
      <c r="P172" s="229">
        <f t="shared" si="17"/>
        <v>7.2292946669126996</v>
      </c>
      <c r="Q172" s="229">
        <f t="shared" si="21"/>
        <v>9.3855341210471348</v>
      </c>
      <c r="R172" s="144"/>
    </row>
    <row r="173" spans="2:18">
      <c r="B173" s="142">
        <f t="shared" si="18"/>
        <v>2035</v>
      </c>
      <c r="C173" s="19">
        <f t="shared" si="19"/>
        <v>12</v>
      </c>
      <c r="D173" s="143">
        <v>49644</v>
      </c>
      <c r="E173" s="19" t="str">
        <f t="shared" si="20"/>
        <v>12-2035</v>
      </c>
      <c r="F173" s="91">
        <f>'IEPR Gas Prices Real'!F175*(INDEX('GDP Deflator'!$D$6:$D$91,MATCH('IEPR Gas Prices Nominal'!$B173,'GDP Deflator'!$B$6:$B$91,0)))</f>
        <v>6.9592174632382813</v>
      </c>
      <c r="G173" s="91">
        <f>'IEPR Gas Prices Real'!G175*(INDEX('GDP Deflator'!$D$6:$D$91,MATCH('IEPR Gas Prices Nominal'!$B173,'GDP Deflator'!$B$6:$B$91,0)))</f>
        <v>1.8853479244291285</v>
      </c>
      <c r="H173" s="91">
        <f>'IEPR Gas Prices Real'!H175*(INDEX('GDP Deflator'!$D$6:$D$91,MATCH('IEPR Gas Prices Nominal'!$B173,'GDP Deflator'!$B$6:$B$91,0)))</f>
        <v>8.8445653876674086</v>
      </c>
      <c r="I173" s="91">
        <f>'IEPR Gas Prices Real'!I175*(INDEX('GDP Deflator'!$D$6:$D$91,MATCH('IEPR Gas Prices Nominal'!$B173,'GDP Deflator'!$B$6:$B$91,0)))</f>
        <v>7.3061611804067965</v>
      </c>
      <c r="J173" s="91">
        <f>'IEPR Gas Prices Real'!J175*(INDEX('GDP Deflator'!$D$6:$D$91,MATCH('IEPR Gas Prices Nominal'!$B173,'GDP Deflator'!$B$6:$B$91,0)))</f>
        <v>3.1131653683681209</v>
      </c>
      <c r="K173" s="91">
        <f>'IEPR Gas Prices Real'!K175*(INDEX('GDP Deflator'!$D$6:$D$91,MATCH('IEPR Gas Prices Nominal'!$B173,'GDP Deflator'!$B$6:$B$91,0)))</f>
        <v>10.419326548774919</v>
      </c>
      <c r="L173" s="91">
        <f>'IEPR Gas Prices Real'!L175*(INDEX('GDP Deflator'!$D$6:$D$91,MATCH('IEPR Gas Prices Nominal'!$B173,'GDP Deflator'!$B$6:$B$91,0)))</f>
        <v>7.5955111059810161</v>
      </c>
      <c r="M173" s="91">
        <f>'IEPR Gas Prices Real'!M175*(INDEX('GDP Deflator'!$D$6:$D$91,MATCH('IEPR Gas Prices Nominal'!$B173,'GDP Deflator'!$B$6:$B$91,0)))</f>
        <v>1.4702050696060556</v>
      </c>
      <c r="N173" s="91">
        <f>'IEPR Gas Prices Real'!N175*(INDEX('GDP Deflator'!$D$6:$D$91,MATCH('IEPR Gas Prices Nominal'!$B173,'GDP Deflator'!$B$6:$B$91,0)))</f>
        <v>9.0657161755870721</v>
      </c>
      <c r="O173" s="19"/>
      <c r="P173" s="229">
        <f t="shared" si="17"/>
        <v>7.2869632498753658</v>
      </c>
      <c r="Q173" s="229">
        <f t="shared" si="21"/>
        <v>9.4432027040097992</v>
      </c>
      <c r="R173" s="144"/>
    </row>
    <row r="174" spans="2:18">
      <c r="B174" s="142">
        <f t="shared" si="18"/>
        <v>2036</v>
      </c>
      <c r="C174" s="19">
        <f t="shared" si="19"/>
        <v>1</v>
      </c>
      <c r="D174" s="143">
        <v>49675</v>
      </c>
      <c r="E174" s="19" t="str">
        <f t="shared" si="20"/>
        <v>1-2036</v>
      </c>
      <c r="F174" s="91">
        <f>'IEPR Gas Prices Real'!F176*(INDEX('GDP Deflator'!$D$6:$D$91,MATCH('IEPR Gas Prices Nominal'!$B174,'GDP Deflator'!$B$6:$B$91,0)))</f>
        <v>7.1129033877380765</v>
      </c>
      <c r="G174" s="91">
        <f>'IEPR Gas Prices Real'!G176*(INDEX('GDP Deflator'!$D$6:$D$91,MATCH('IEPR Gas Prices Nominal'!$B174,'GDP Deflator'!$B$6:$B$91,0)))</f>
        <v>2.0040542113407214</v>
      </c>
      <c r="H174" s="91">
        <f>'IEPR Gas Prices Real'!H176*(INDEX('GDP Deflator'!$D$6:$D$91,MATCH('IEPR Gas Prices Nominal'!$B174,'GDP Deflator'!$B$6:$B$91,0)))</f>
        <v>9.1169575990787965</v>
      </c>
      <c r="I174" s="91">
        <f>'IEPR Gas Prices Real'!I176*(INDEX('GDP Deflator'!$D$6:$D$91,MATCH('IEPR Gas Prices Nominal'!$B174,'GDP Deflator'!$B$6:$B$91,0)))</f>
        <v>7.4674040238506647</v>
      </c>
      <c r="J174" s="91">
        <f>'IEPR Gas Prices Real'!J176*(INDEX('GDP Deflator'!$D$6:$D$91,MATCH('IEPR Gas Prices Nominal'!$B174,'GDP Deflator'!$B$6:$B$91,0)))</f>
        <v>3.3091781555212609</v>
      </c>
      <c r="K174" s="91">
        <f>'IEPR Gas Prices Real'!K176*(INDEX('GDP Deflator'!$D$6:$D$91,MATCH('IEPR Gas Prices Nominal'!$B174,'GDP Deflator'!$B$6:$B$91,0)))</f>
        <v>10.776582179371925</v>
      </c>
      <c r="L174" s="91">
        <f>'IEPR Gas Prices Real'!L176*(INDEX('GDP Deflator'!$D$6:$D$91,MATCH('IEPR Gas Prices Nominal'!$B174,'GDP Deflator'!$B$6:$B$91,0)))</f>
        <v>7.7632742963125088</v>
      </c>
      <c r="M174" s="91">
        <f>'IEPR Gas Prices Real'!M176*(INDEX('GDP Deflator'!$D$6:$D$91,MATCH('IEPR Gas Prices Nominal'!$B174,'GDP Deflator'!$B$6:$B$91,0)))</f>
        <v>1.5627729094992571</v>
      </c>
      <c r="N174" s="91">
        <f>'IEPR Gas Prices Real'!N176*(INDEX('GDP Deflator'!$D$6:$D$91,MATCH('IEPR Gas Prices Nominal'!$B174,'GDP Deflator'!$B$6:$B$91,0)))</f>
        <v>9.3260472058117667</v>
      </c>
      <c r="O174" s="19"/>
      <c r="P174" s="229">
        <f t="shared" si="17"/>
        <v>7.447860569300417</v>
      </c>
      <c r="Q174" s="229">
        <f t="shared" si="21"/>
        <v>9.7398623280874972</v>
      </c>
      <c r="R174" s="144"/>
    </row>
    <row r="175" spans="2:18">
      <c r="B175" s="142">
        <f t="shared" si="18"/>
        <v>2036</v>
      </c>
      <c r="C175" s="19">
        <f t="shared" si="19"/>
        <v>2</v>
      </c>
      <c r="D175" s="143">
        <v>49706</v>
      </c>
      <c r="E175" s="19" t="str">
        <f t="shared" si="20"/>
        <v>2-2036</v>
      </c>
      <c r="F175" s="91">
        <f>'IEPR Gas Prices Real'!F177*(INDEX('GDP Deflator'!$D$6:$D$91,MATCH('IEPR Gas Prices Nominal'!$B175,'GDP Deflator'!$B$6:$B$91,0)))</f>
        <v>6.9565764297542465</v>
      </c>
      <c r="G175" s="91">
        <f>'IEPR Gas Prices Real'!G177*(INDEX('GDP Deflator'!$D$6:$D$91,MATCH('IEPR Gas Prices Nominal'!$B175,'GDP Deflator'!$B$6:$B$91,0)))</f>
        <v>2.0040542113407214</v>
      </c>
      <c r="H175" s="91">
        <f>'IEPR Gas Prices Real'!H177*(INDEX('GDP Deflator'!$D$6:$D$91,MATCH('IEPR Gas Prices Nominal'!$B175,'GDP Deflator'!$B$6:$B$91,0)))</f>
        <v>8.9606306410949674</v>
      </c>
      <c r="I175" s="91">
        <f>'IEPR Gas Prices Real'!I177*(INDEX('GDP Deflator'!$D$6:$D$91,MATCH('IEPR Gas Prices Nominal'!$B175,'GDP Deflator'!$B$6:$B$91,0)))</f>
        <v>7.3031832439907483</v>
      </c>
      <c r="J175" s="91">
        <f>'IEPR Gas Prices Real'!J177*(INDEX('GDP Deflator'!$D$6:$D$91,MATCH('IEPR Gas Prices Nominal'!$B175,'GDP Deflator'!$B$6:$B$91,0)))</f>
        <v>3.3091781555212609</v>
      </c>
      <c r="K175" s="91">
        <f>'IEPR Gas Prices Real'!K177*(INDEX('GDP Deflator'!$D$6:$D$91,MATCH('IEPR Gas Prices Nominal'!$B175,'GDP Deflator'!$B$6:$B$91,0)))</f>
        <v>10.612361399512009</v>
      </c>
      <c r="L175" s="91">
        <f>'IEPR Gas Prices Real'!L177*(INDEX('GDP Deflator'!$D$6:$D$91,MATCH('IEPR Gas Prices Nominal'!$B175,'GDP Deflator'!$B$6:$B$91,0)))</f>
        <v>7.5926784587931886</v>
      </c>
      <c r="M175" s="91">
        <f>'IEPR Gas Prices Real'!M177*(INDEX('GDP Deflator'!$D$6:$D$91,MATCH('IEPR Gas Prices Nominal'!$B175,'GDP Deflator'!$B$6:$B$91,0)))</f>
        <v>1.5627729094992571</v>
      </c>
      <c r="N175" s="91">
        <f>'IEPR Gas Prices Real'!N177*(INDEX('GDP Deflator'!$D$6:$D$91,MATCH('IEPR Gas Prices Nominal'!$B175,'GDP Deflator'!$B$6:$B$91,0)))</f>
        <v>9.1554513682924465</v>
      </c>
      <c r="O175" s="19"/>
      <c r="P175" s="229">
        <f t="shared" si="17"/>
        <v>7.2841460441793942</v>
      </c>
      <c r="Q175" s="229">
        <f t="shared" si="21"/>
        <v>9.5761478029664744</v>
      </c>
      <c r="R175" s="144"/>
    </row>
    <row r="176" spans="2:18">
      <c r="B176" s="142">
        <f t="shared" si="18"/>
        <v>2036</v>
      </c>
      <c r="C176" s="19">
        <f t="shared" si="19"/>
        <v>3</v>
      </c>
      <c r="D176" s="143">
        <v>49735</v>
      </c>
      <c r="E176" s="19" t="str">
        <f t="shared" si="20"/>
        <v>3-2036</v>
      </c>
      <c r="F176" s="91">
        <f>'IEPR Gas Prices Real'!F178*(INDEX('GDP Deflator'!$D$6:$D$91,MATCH('IEPR Gas Prices Nominal'!$B176,'GDP Deflator'!$B$6:$B$91,0)))</f>
        <v>6.3858098622406674</v>
      </c>
      <c r="G176" s="91">
        <f>'IEPR Gas Prices Real'!G178*(INDEX('GDP Deflator'!$D$6:$D$91,MATCH('IEPR Gas Prices Nominal'!$B176,'GDP Deflator'!$B$6:$B$91,0)))</f>
        <v>2.0040542113407214</v>
      </c>
      <c r="H176" s="91">
        <f>'IEPR Gas Prices Real'!H178*(INDEX('GDP Deflator'!$D$6:$D$91,MATCH('IEPR Gas Prices Nominal'!$B176,'GDP Deflator'!$B$6:$B$91,0)))</f>
        <v>8.3898640735813874</v>
      </c>
      <c r="I176" s="91">
        <f>'IEPR Gas Prices Real'!I178*(INDEX('GDP Deflator'!$D$6:$D$91,MATCH('IEPR Gas Prices Nominal'!$B176,'GDP Deflator'!$B$6:$B$91,0)))</f>
        <v>6.7038843840508981</v>
      </c>
      <c r="J176" s="91">
        <f>'IEPR Gas Prices Real'!J178*(INDEX('GDP Deflator'!$D$6:$D$91,MATCH('IEPR Gas Prices Nominal'!$B176,'GDP Deflator'!$B$6:$B$91,0)))</f>
        <v>3.3091781555212609</v>
      </c>
      <c r="K176" s="91">
        <f>'IEPR Gas Prices Real'!K178*(INDEX('GDP Deflator'!$D$6:$D$91,MATCH('IEPR Gas Prices Nominal'!$B176,'GDP Deflator'!$B$6:$B$91,0)))</f>
        <v>10.013062539572159</v>
      </c>
      <c r="L176" s="91">
        <f>'IEPR Gas Prices Real'!L178*(INDEX('GDP Deflator'!$D$6:$D$91,MATCH('IEPR Gas Prices Nominal'!$B176,'GDP Deflator'!$B$6:$B$91,0)))</f>
        <v>6.9697444883635509</v>
      </c>
      <c r="M176" s="91">
        <f>'IEPR Gas Prices Real'!M178*(INDEX('GDP Deflator'!$D$6:$D$91,MATCH('IEPR Gas Prices Nominal'!$B176,'GDP Deflator'!$B$6:$B$91,0)))</f>
        <v>1.5627729094992571</v>
      </c>
      <c r="N176" s="91">
        <f>'IEPR Gas Prices Real'!N178*(INDEX('GDP Deflator'!$D$6:$D$91,MATCH('IEPR Gas Prices Nominal'!$B176,'GDP Deflator'!$B$6:$B$91,0)))</f>
        <v>8.5325173978628079</v>
      </c>
      <c r="O176" s="19"/>
      <c r="P176" s="229">
        <f t="shared" si="17"/>
        <v>6.6864795782183721</v>
      </c>
      <c r="Q176" s="229">
        <f t="shared" si="21"/>
        <v>8.9784813370054515</v>
      </c>
      <c r="R176" s="144"/>
    </row>
    <row r="177" spans="2:18">
      <c r="B177" s="142">
        <f t="shared" si="18"/>
        <v>2036</v>
      </c>
      <c r="C177" s="19">
        <f t="shared" si="19"/>
        <v>4</v>
      </c>
      <c r="D177" s="143">
        <v>49766</v>
      </c>
      <c r="E177" s="19" t="str">
        <f t="shared" si="20"/>
        <v>4-2036</v>
      </c>
      <c r="F177" s="91">
        <f>'IEPR Gas Prices Real'!F179*(INDEX('GDP Deflator'!$D$6:$D$91,MATCH('IEPR Gas Prices Nominal'!$B177,'GDP Deflator'!$B$6:$B$91,0)))</f>
        <v>6.2768124069902349</v>
      </c>
      <c r="G177" s="91">
        <f>'IEPR Gas Prices Real'!G179*(INDEX('GDP Deflator'!$D$6:$D$91,MATCH('IEPR Gas Prices Nominal'!$B177,'GDP Deflator'!$B$6:$B$91,0)))</f>
        <v>2.0040542113407214</v>
      </c>
      <c r="H177" s="91">
        <f>'IEPR Gas Prices Real'!H179*(INDEX('GDP Deflator'!$D$6:$D$91,MATCH('IEPR Gas Prices Nominal'!$B177,'GDP Deflator'!$B$6:$B$91,0)))</f>
        <v>8.2808666183309558</v>
      </c>
      <c r="I177" s="91">
        <f>'IEPR Gas Prices Real'!I179*(INDEX('GDP Deflator'!$D$6:$D$91,MATCH('IEPR Gas Prices Nominal'!$B177,'GDP Deflator'!$B$6:$B$91,0)))</f>
        <v>6.589365175522663</v>
      </c>
      <c r="J177" s="91">
        <f>'IEPR Gas Prices Real'!J179*(INDEX('GDP Deflator'!$D$6:$D$91,MATCH('IEPR Gas Prices Nominal'!$B177,'GDP Deflator'!$B$6:$B$91,0)))</f>
        <v>3.3091781555212609</v>
      </c>
      <c r="K177" s="91">
        <f>'IEPR Gas Prices Real'!K179*(INDEX('GDP Deflator'!$D$6:$D$91,MATCH('IEPR Gas Prices Nominal'!$B177,'GDP Deflator'!$B$6:$B$91,0)))</f>
        <v>9.8985433310439248</v>
      </c>
      <c r="L177" s="91">
        <f>'IEPR Gas Prices Real'!L179*(INDEX('GDP Deflator'!$D$6:$D$91,MATCH('IEPR Gas Prices Nominal'!$B177,'GDP Deflator'!$B$6:$B$91,0)))</f>
        <v>6.8508025348046226</v>
      </c>
      <c r="M177" s="91">
        <f>'IEPR Gas Prices Real'!M179*(INDEX('GDP Deflator'!$D$6:$D$91,MATCH('IEPR Gas Prices Nominal'!$B177,'GDP Deflator'!$B$6:$B$91,0)))</f>
        <v>1.5627729094992571</v>
      </c>
      <c r="N177" s="91">
        <f>'IEPR Gas Prices Real'!N179*(INDEX('GDP Deflator'!$D$6:$D$91,MATCH('IEPR Gas Prices Nominal'!$B177,'GDP Deflator'!$B$6:$B$91,0)))</f>
        <v>8.4135754443038806</v>
      </c>
      <c r="O177" s="19"/>
      <c r="P177" s="229">
        <f t="shared" si="17"/>
        <v>6.5723267057725065</v>
      </c>
      <c r="Q177" s="229">
        <f t="shared" si="21"/>
        <v>8.8643284645595859</v>
      </c>
      <c r="R177" s="144"/>
    </row>
    <row r="178" spans="2:18">
      <c r="B178" s="142">
        <f t="shared" si="18"/>
        <v>2036</v>
      </c>
      <c r="C178" s="19">
        <f t="shared" si="19"/>
        <v>5</v>
      </c>
      <c r="D178" s="143">
        <v>49796</v>
      </c>
      <c r="E178" s="19" t="str">
        <f t="shared" si="20"/>
        <v>5-2036</v>
      </c>
      <c r="F178" s="91">
        <f>'IEPR Gas Prices Real'!F180*(INDEX('GDP Deflator'!$D$6:$D$91,MATCH('IEPR Gas Prices Nominal'!$B178,'GDP Deflator'!$B$6:$B$91,0)))</f>
        <v>6.4949121174353257</v>
      </c>
      <c r="G178" s="91">
        <f>'IEPR Gas Prices Real'!G180*(INDEX('GDP Deflator'!$D$6:$D$91,MATCH('IEPR Gas Prices Nominal'!$B178,'GDP Deflator'!$B$6:$B$91,0)))</f>
        <v>2.0040542113407214</v>
      </c>
      <c r="H178" s="91">
        <f>'IEPR Gas Prices Real'!H180*(INDEX('GDP Deflator'!$D$6:$D$91,MATCH('IEPR Gas Prices Nominal'!$B178,'GDP Deflator'!$B$6:$B$91,0)))</f>
        <v>8.4989663287760457</v>
      </c>
      <c r="I178" s="91">
        <f>'IEPR Gas Prices Real'!I180*(INDEX('GDP Deflator'!$D$6:$D$91,MATCH('IEPR Gas Prices Nominal'!$B178,'GDP Deflator'!$B$6:$B$91,0)))</f>
        <v>6.8182292499246406</v>
      </c>
      <c r="J178" s="91">
        <f>'IEPR Gas Prices Real'!J180*(INDEX('GDP Deflator'!$D$6:$D$91,MATCH('IEPR Gas Prices Nominal'!$B178,'GDP Deflator'!$B$6:$B$91,0)))</f>
        <v>3.3091781555212609</v>
      </c>
      <c r="K178" s="91">
        <f>'IEPR Gas Prices Real'!K180*(INDEX('GDP Deflator'!$D$6:$D$91,MATCH('IEPR Gas Prices Nominal'!$B178,'GDP Deflator'!$B$6:$B$91,0)))</f>
        <v>10.127407405445901</v>
      </c>
      <c r="L178" s="91">
        <f>'IEPR Gas Prices Real'!L180*(INDEX('GDP Deflator'!$D$6:$D$91,MATCH('IEPR Gas Prices Nominal'!$B178,'GDP Deflator'!$B$6:$B$91,0)))</f>
        <v>7.0888699085800466</v>
      </c>
      <c r="M178" s="91">
        <f>'IEPR Gas Prices Real'!M180*(INDEX('GDP Deflator'!$D$6:$D$91,MATCH('IEPR Gas Prices Nominal'!$B178,'GDP Deflator'!$B$6:$B$91,0)))</f>
        <v>1.5627729094992571</v>
      </c>
      <c r="N178" s="91">
        <f>'IEPR Gas Prices Real'!N180*(INDEX('GDP Deflator'!$D$6:$D$91,MATCH('IEPR Gas Prices Nominal'!$B178,'GDP Deflator'!$B$6:$B$91,0)))</f>
        <v>8.6516428180793028</v>
      </c>
      <c r="O178" s="19"/>
      <c r="P178" s="229">
        <f t="shared" si="17"/>
        <v>6.8006704253133377</v>
      </c>
      <c r="Q178" s="229">
        <f t="shared" si="21"/>
        <v>9.092672184100417</v>
      </c>
      <c r="R178" s="144"/>
    </row>
    <row r="179" spans="2:18">
      <c r="B179" s="142">
        <f t="shared" si="18"/>
        <v>2036</v>
      </c>
      <c r="C179" s="19">
        <f t="shared" si="19"/>
        <v>6</v>
      </c>
      <c r="D179" s="143">
        <v>49827</v>
      </c>
      <c r="E179" s="19" t="str">
        <f t="shared" si="20"/>
        <v>6-2036</v>
      </c>
      <c r="F179" s="91">
        <f>'IEPR Gas Prices Real'!F181*(INDEX('GDP Deflator'!$D$6:$D$91,MATCH('IEPR Gas Prices Nominal'!$B179,'GDP Deflator'!$B$6:$B$91,0)))</f>
        <v>6.6624588744760285</v>
      </c>
      <c r="G179" s="91">
        <f>'IEPR Gas Prices Real'!G181*(INDEX('GDP Deflator'!$D$6:$D$91,MATCH('IEPR Gas Prices Nominal'!$B179,'GDP Deflator'!$B$6:$B$91,0)))</f>
        <v>2.0040542113407214</v>
      </c>
      <c r="H179" s="91">
        <f>'IEPR Gas Prices Real'!H181*(INDEX('GDP Deflator'!$D$6:$D$91,MATCH('IEPR Gas Prices Nominal'!$B179,'GDP Deflator'!$B$6:$B$91,0)))</f>
        <v>8.6665130858167494</v>
      </c>
      <c r="I179" s="91">
        <f>'IEPR Gas Prices Real'!I181*(INDEX('GDP Deflator'!$D$6:$D$91,MATCH('IEPR Gas Prices Nominal'!$B179,'GDP Deflator'!$B$6:$B$91,0)))</f>
        <v>6.9940181302856681</v>
      </c>
      <c r="J179" s="91">
        <f>'IEPR Gas Prices Real'!J181*(INDEX('GDP Deflator'!$D$6:$D$91,MATCH('IEPR Gas Prices Nominal'!$B179,'GDP Deflator'!$B$6:$B$91,0)))</f>
        <v>3.3091781555212609</v>
      </c>
      <c r="K179" s="91">
        <f>'IEPR Gas Prices Real'!K181*(INDEX('GDP Deflator'!$D$6:$D$91,MATCH('IEPR Gas Prices Nominal'!$B179,'GDP Deflator'!$B$6:$B$91,0)))</f>
        <v>10.30319628580693</v>
      </c>
      <c r="L179" s="91">
        <f>'IEPR Gas Prices Real'!L181*(INDEX('GDP Deflator'!$D$6:$D$91,MATCH('IEPR Gas Prices Nominal'!$B179,'GDP Deflator'!$B$6:$B$91,0)))</f>
        <v>7.271762663870402</v>
      </c>
      <c r="M179" s="91">
        <f>'IEPR Gas Prices Real'!M181*(INDEX('GDP Deflator'!$D$6:$D$91,MATCH('IEPR Gas Prices Nominal'!$B179,'GDP Deflator'!$B$6:$B$91,0)))</f>
        <v>1.5627729094992571</v>
      </c>
      <c r="N179" s="91">
        <f>'IEPR Gas Prices Real'!N181*(INDEX('GDP Deflator'!$D$6:$D$91,MATCH('IEPR Gas Prices Nominal'!$B179,'GDP Deflator'!$B$6:$B$91,0)))</f>
        <v>8.83453557336966</v>
      </c>
      <c r="O179" s="19"/>
      <c r="P179" s="229">
        <f t="shared" si="17"/>
        <v>6.9760798895440326</v>
      </c>
      <c r="Q179" s="229">
        <f t="shared" si="21"/>
        <v>9.2680816483311137</v>
      </c>
      <c r="R179" s="144"/>
    </row>
    <row r="180" spans="2:18">
      <c r="B180" s="142">
        <f t="shared" si="18"/>
        <v>2036</v>
      </c>
      <c r="C180" s="19">
        <f t="shared" si="19"/>
        <v>7</v>
      </c>
      <c r="D180" s="143">
        <v>49857</v>
      </c>
      <c r="E180" s="19" t="str">
        <f t="shared" si="20"/>
        <v>7-2036</v>
      </c>
      <c r="F180" s="91">
        <f>'IEPR Gas Prices Real'!F182*(INDEX('GDP Deflator'!$D$6:$D$91,MATCH('IEPR Gas Prices Nominal'!$B180,'GDP Deflator'!$B$6:$B$91,0)))</f>
        <v>6.7149523966438025</v>
      </c>
      <c r="G180" s="91">
        <f>'IEPR Gas Prices Real'!G182*(INDEX('GDP Deflator'!$D$6:$D$91,MATCH('IEPR Gas Prices Nominal'!$B180,'GDP Deflator'!$B$6:$B$91,0)))</f>
        <v>2.0040542113407214</v>
      </c>
      <c r="H180" s="91">
        <f>'IEPR Gas Prices Real'!H182*(INDEX('GDP Deflator'!$D$6:$D$91,MATCH('IEPR Gas Prices Nominal'!$B180,'GDP Deflator'!$B$6:$B$91,0)))</f>
        <v>8.7190066079845234</v>
      </c>
      <c r="I180" s="91">
        <f>'IEPR Gas Prices Real'!I182*(INDEX('GDP Deflator'!$D$6:$D$91,MATCH('IEPR Gas Prices Nominal'!$B180,'GDP Deflator'!$B$6:$B$91,0)))</f>
        <v>7.0490248495011087</v>
      </c>
      <c r="J180" s="91">
        <f>'IEPR Gas Prices Real'!J182*(INDEX('GDP Deflator'!$D$6:$D$91,MATCH('IEPR Gas Prices Nominal'!$B180,'GDP Deflator'!$B$6:$B$91,0)))</f>
        <v>3.3091781555212609</v>
      </c>
      <c r="K180" s="91">
        <f>'IEPR Gas Prices Real'!K182*(INDEX('GDP Deflator'!$D$6:$D$91,MATCH('IEPR Gas Prices Nominal'!$B180,'GDP Deflator'!$B$6:$B$91,0)))</f>
        <v>10.35820300502237</v>
      </c>
      <c r="L180" s="91">
        <f>'IEPR Gas Prices Real'!L182*(INDEX('GDP Deflator'!$D$6:$D$91,MATCH('IEPR Gas Prices Nominal'!$B180,'GDP Deflator'!$B$6:$B$91,0)))</f>
        <v>7.3290809811874214</v>
      </c>
      <c r="M180" s="91">
        <f>'IEPR Gas Prices Real'!M182*(INDEX('GDP Deflator'!$D$6:$D$91,MATCH('IEPR Gas Prices Nominal'!$B180,'GDP Deflator'!$B$6:$B$91,0)))</f>
        <v>1.5627729094992571</v>
      </c>
      <c r="N180" s="91">
        <f>'IEPR Gas Prices Real'!N182*(INDEX('GDP Deflator'!$D$6:$D$91,MATCH('IEPR Gas Prices Nominal'!$B180,'GDP Deflator'!$B$6:$B$91,0)))</f>
        <v>8.8918538906866775</v>
      </c>
      <c r="O180" s="19"/>
      <c r="P180" s="229">
        <f t="shared" si="17"/>
        <v>7.0310194091107769</v>
      </c>
      <c r="Q180" s="229">
        <f t="shared" si="21"/>
        <v>9.3230211678978563</v>
      </c>
      <c r="R180" s="144"/>
    </row>
    <row r="181" spans="2:18">
      <c r="B181" s="142">
        <f t="shared" si="18"/>
        <v>2036</v>
      </c>
      <c r="C181" s="19">
        <f t="shared" si="19"/>
        <v>8</v>
      </c>
      <c r="D181" s="143">
        <v>49888</v>
      </c>
      <c r="E181" s="19" t="str">
        <f t="shared" si="20"/>
        <v>8-2036</v>
      </c>
      <c r="F181" s="91">
        <f>'IEPR Gas Prices Real'!F183*(INDEX('GDP Deflator'!$D$6:$D$91,MATCH('IEPR Gas Prices Nominal'!$B181,'GDP Deflator'!$B$6:$B$91,0)))</f>
        <v>6.6627257141714722</v>
      </c>
      <c r="G181" s="91">
        <f>'IEPR Gas Prices Real'!G183*(INDEX('GDP Deflator'!$D$6:$D$91,MATCH('IEPR Gas Prices Nominal'!$B181,'GDP Deflator'!$B$6:$B$91,0)))</f>
        <v>2.0040542113407214</v>
      </c>
      <c r="H181" s="91">
        <f>'IEPR Gas Prices Real'!H183*(INDEX('GDP Deflator'!$D$6:$D$91,MATCH('IEPR Gas Prices Nominal'!$B181,'GDP Deflator'!$B$6:$B$91,0)))</f>
        <v>8.6667799255121931</v>
      </c>
      <c r="I181" s="91">
        <f>'IEPR Gas Prices Real'!I183*(INDEX('GDP Deflator'!$D$6:$D$91,MATCH('IEPR Gas Prices Nominal'!$B181,'GDP Deflator'!$B$6:$B$91,0)))</f>
        <v>6.9941014554116663</v>
      </c>
      <c r="J181" s="91">
        <f>'IEPR Gas Prices Real'!J183*(INDEX('GDP Deflator'!$D$6:$D$91,MATCH('IEPR Gas Prices Nominal'!$B181,'GDP Deflator'!$B$6:$B$91,0)))</f>
        <v>3.3091781555212609</v>
      </c>
      <c r="K181" s="91">
        <f>'IEPR Gas Prices Real'!K183*(INDEX('GDP Deflator'!$D$6:$D$91,MATCH('IEPR Gas Prices Nominal'!$B181,'GDP Deflator'!$B$6:$B$91,0)))</f>
        <v>10.303279610932927</v>
      </c>
      <c r="L181" s="91">
        <f>'IEPR Gas Prices Real'!L183*(INDEX('GDP Deflator'!$D$6:$D$91,MATCH('IEPR Gas Prices Nominal'!$B181,'GDP Deflator'!$B$6:$B$91,0)))</f>
        <v>7.2721017163836894</v>
      </c>
      <c r="M181" s="91">
        <f>'IEPR Gas Prices Real'!M183*(INDEX('GDP Deflator'!$D$6:$D$91,MATCH('IEPR Gas Prices Nominal'!$B181,'GDP Deflator'!$B$6:$B$91,0)))</f>
        <v>1.5627729094992571</v>
      </c>
      <c r="N181" s="91">
        <f>'IEPR Gas Prices Real'!N183*(INDEX('GDP Deflator'!$D$6:$D$91,MATCH('IEPR Gas Prices Nominal'!$B181,'GDP Deflator'!$B$6:$B$91,0)))</f>
        <v>8.8348746258829465</v>
      </c>
      <c r="O181" s="19"/>
      <c r="P181" s="229">
        <f t="shared" si="17"/>
        <v>6.976309628655609</v>
      </c>
      <c r="Q181" s="229">
        <f t="shared" si="21"/>
        <v>9.2683113874426883</v>
      </c>
      <c r="R181" s="144"/>
    </row>
    <row r="182" spans="2:18">
      <c r="B182" s="142">
        <f t="shared" si="18"/>
        <v>2036</v>
      </c>
      <c r="C182" s="19">
        <f t="shared" si="19"/>
        <v>9</v>
      </c>
      <c r="D182" s="143">
        <v>49919</v>
      </c>
      <c r="E182" s="19" t="str">
        <f t="shared" si="20"/>
        <v>9-2036</v>
      </c>
      <c r="F182" s="91">
        <f>'IEPR Gas Prices Real'!F184*(INDEX('GDP Deflator'!$D$6:$D$91,MATCH('IEPR Gas Prices Nominal'!$B182,'GDP Deflator'!$B$6:$B$91,0)))</f>
        <v>6.7560779317157769</v>
      </c>
      <c r="G182" s="91">
        <f>'IEPR Gas Prices Real'!G184*(INDEX('GDP Deflator'!$D$6:$D$91,MATCH('IEPR Gas Prices Nominal'!$B182,'GDP Deflator'!$B$6:$B$91,0)))</f>
        <v>2.0040542113407214</v>
      </c>
      <c r="H182" s="91">
        <f>'IEPR Gas Prices Real'!H184*(INDEX('GDP Deflator'!$D$6:$D$91,MATCH('IEPR Gas Prices Nominal'!$B182,'GDP Deflator'!$B$6:$B$91,0)))</f>
        <v>8.7601321430564969</v>
      </c>
      <c r="I182" s="91">
        <f>'IEPR Gas Prices Real'!I184*(INDEX('GDP Deflator'!$D$6:$D$91,MATCH('IEPR Gas Prices Nominal'!$B182,'GDP Deflator'!$B$6:$B$91,0)))</f>
        <v>7.0919968123482597</v>
      </c>
      <c r="J182" s="91">
        <f>'IEPR Gas Prices Real'!J184*(INDEX('GDP Deflator'!$D$6:$D$91,MATCH('IEPR Gas Prices Nominal'!$B182,'GDP Deflator'!$B$6:$B$91,0)))</f>
        <v>3.3091781555212609</v>
      </c>
      <c r="K182" s="91">
        <f>'IEPR Gas Prices Real'!K184*(INDEX('GDP Deflator'!$D$6:$D$91,MATCH('IEPR Gas Prices Nominal'!$B182,'GDP Deflator'!$B$6:$B$91,0)))</f>
        <v>10.401174967869521</v>
      </c>
      <c r="L182" s="91">
        <f>'IEPR Gas Prices Real'!L184*(INDEX('GDP Deflator'!$D$6:$D$91,MATCH('IEPR Gas Prices Nominal'!$B182,'GDP Deflator'!$B$6:$B$91,0)))</f>
        <v>7.374016217920639</v>
      </c>
      <c r="M182" s="91">
        <f>'IEPR Gas Prices Real'!M184*(INDEX('GDP Deflator'!$D$6:$D$91,MATCH('IEPR Gas Prices Nominal'!$B182,'GDP Deflator'!$B$6:$B$91,0)))</f>
        <v>1.5627729094992571</v>
      </c>
      <c r="N182" s="91">
        <f>'IEPR Gas Prices Real'!N184*(INDEX('GDP Deflator'!$D$6:$D$91,MATCH('IEPR Gas Prices Nominal'!$B182,'GDP Deflator'!$B$6:$B$91,0)))</f>
        <v>8.9367891274198961</v>
      </c>
      <c r="O182" s="19"/>
      <c r="P182" s="229">
        <f t="shared" si="17"/>
        <v>7.0740303206615591</v>
      </c>
      <c r="Q182" s="229">
        <f t="shared" si="21"/>
        <v>9.3660320794486385</v>
      </c>
      <c r="R182" s="144"/>
    </row>
    <row r="183" spans="2:18">
      <c r="B183" s="142">
        <f t="shared" si="18"/>
        <v>2036</v>
      </c>
      <c r="C183" s="19">
        <f t="shared" si="19"/>
        <v>10</v>
      </c>
      <c r="D183" s="143">
        <v>49949</v>
      </c>
      <c r="E183" s="19" t="str">
        <f t="shared" si="20"/>
        <v>10-2036</v>
      </c>
      <c r="F183" s="91">
        <f>'IEPR Gas Prices Real'!F185*(INDEX('GDP Deflator'!$D$6:$D$91,MATCH('IEPR Gas Prices Nominal'!$B183,'GDP Deflator'!$B$6:$B$91,0)))</f>
        <v>6.7167832194961283</v>
      </c>
      <c r="G183" s="91">
        <f>'IEPR Gas Prices Real'!G185*(INDEX('GDP Deflator'!$D$6:$D$91,MATCH('IEPR Gas Prices Nominal'!$B183,'GDP Deflator'!$B$6:$B$91,0)))</f>
        <v>2.0040542113407214</v>
      </c>
      <c r="H183" s="91">
        <f>'IEPR Gas Prices Real'!H185*(INDEX('GDP Deflator'!$D$6:$D$91,MATCH('IEPR Gas Prices Nominal'!$B183,'GDP Deflator'!$B$6:$B$91,0)))</f>
        <v>8.7208374308368501</v>
      </c>
      <c r="I183" s="91">
        <f>'IEPR Gas Prices Real'!I185*(INDEX('GDP Deflator'!$D$6:$D$91,MATCH('IEPR Gas Prices Nominal'!$B183,'GDP Deflator'!$B$6:$B$91,0)))</f>
        <v>7.0506490853235748</v>
      </c>
      <c r="J183" s="91">
        <f>'IEPR Gas Prices Real'!J185*(INDEX('GDP Deflator'!$D$6:$D$91,MATCH('IEPR Gas Prices Nominal'!$B183,'GDP Deflator'!$B$6:$B$91,0)))</f>
        <v>3.3091781555212609</v>
      </c>
      <c r="K183" s="91">
        <f>'IEPR Gas Prices Real'!K185*(INDEX('GDP Deflator'!$D$6:$D$91,MATCH('IEPR Gas Prices Nominal'!$B183,'GDP Deflator'!$B$6:$B$91,0)))</f>
        <v>10.359827240844837</v>
      </c>
      <c r="L183" s="91">
        <f>'IEPR Gas Prices Real'!L185*(INDEX('GDP Deflator'!$D$6:$D$91,MATCH('IEPR Gas Prices Nominal'!$B183,'GDP Deflator'!$B$6:$B$91,0)))</f>
        <v>7.3311515621861414</v>
      </c>
      <c r="M183" s="91">
        <f>'IEPR Gas Prices Real'!M185*(INDEX('GDP Deflator'!$D$6:$D$91,MATCH('IEPR Gas Prices Nominal'!$B183,'GDP Deflator'!$B$6:$B$91,0)))</f>
        <v>1.5627729094992571</v>
      </c>
      <c r="N183" s="91">
        <f>'IEPR Gas Prices Real'!N185*(INDEX('GDP Deflator'!$D$6:$D$91,MATCH('IEPR Gas Prices Nominal'!$B183,'GDP Deflator'!$B$6:$B$91,0)))</f>
        <v>8.8939244716853985</v>
      </c>
      <c r="O183" s="19"/>
      <c r="P183" s="229">
        <f t="shared" si="17"/>
        <v>7.0328612890019473</v>
      </c>
      <c r="Q183" s="229">
        <f t="shared" si="21"/>
        <v>9.3248630477890284</v>
      </c>
      <c r="R183" s="144"/>
    </row>
    <row r="184" spans="2:18">
      <c r="B184" s="142">
        <f t="shared" si="18"/>
        <v>2036</v>
      </c>
      <c r="C184" s="19">
        <f t="shared" si="19"/>
        <v>11</v>
      </c>
      <c r="D184" s="143">
        <v>49980</v>
      </c>
      <c r="E184" s="19" t="str">
        <f t="shared" si="20"/>
        <v>11-2036</v>
      </c>
      <c r="F184" s="91">
        <f>'IEPR Gas Prices Real'!F186*(INDEX('GDP Deflator'!$D$6:$D$91,MATCH('IEPR Gas Prices Nominal'!$B184,'GDP Deflator'!$B$6:$B$91,0)))</f>
        <v>7.0483918824017824</v>
      </c>
      <c r="G184" s="91">
        <f>'IEPR Gas Prices Real'!G186*(INDEX('GDP Deflator'!$D$6:$D$91,MATCH('IEPR Gas Prices Nominal'!$B184,'GDP Deflator'!$B$6:$B$91,0)))</f>
        <v>2.0040542113407214</v>
      </c>
      <c r="H184" s="91">
        <f>'IEPR Gas Prices Real'!H186*(INDEX('GDP Deflator'!$D$6:$D$91,MATCH('IEPR Gas Prices Nominal'!$B184,'GDP Deflator'!$B$6:$B$91,0)))</f>
        <v>9.0524460937425033</v>
      </c>
      <c r="I184" s="91">
        <f>'IEPR Gas Prices Real'!I186*(INDEX('GDP Deflator'!$D$6:$D$91,MATCH('IEPR Gas Prices Nominal'!$B184,'GDP Deflator'!$B$6:$B$91,0)))</f>
        <v>7.3986365970557735</v>
      </c>
      <c r="J184" s="91">
        <f>'IEPR Gas Prices Real'!J186*(INDEX('GDP Deflator'!$D$6:$D$91,MATCH('IEPR Gas Prices Nominal'!$B184,'GDP Deflator'!$B$6:$B$91,0)))</f>
        <v>3.3091781555212609</v>
      </c>
      <c r="K184" s="91">
        <f>'IEPR Gas Prices Real'!K186*(INDEX('GDP Deflator'!$D$6:$D$91,MATCH('IEPR Gas Prices Nominal'!$B184,'GDP Deflator'!$B$6:$B$91,0)))</f>
        <v>10.707814752577034</v>
      </c>
      <c r="L184" s="91">
        <f>'IEPR Gas Prices Real'!L186*(INDEX('GDP Deflator'!$D$6:$D$91,MATCH('IEPR Gas Prices Nominal'!$B184,'GDP Deflator'!$B$6:$B$91,0)))</f>
        <v>7.6931169939258934</v>
      </c>
      <c r="M184" s="91">
        <f>'IEPR Gas Prices Real'!M186*(INDEX('GDP Deflator'!$D$6:$D$91,MATCH('IEPR Gas Prices Nominal'!$B184,'GDP Deflator'!$B$6:$B$91,0)))</f>
        <v>1.5627729094992571</v>
      </c>
      <c r="N184" s="91">
        <f>'IEPR Gas Prices Real'!N186*(INDEX('GDP Deflator'!$D$6:$D$91,MATCH('IEPR Gas Prices Nominal'!$B184,'GDP Deflator'!$B$6:$B$91,0)))</f>
        <v>9.2558899034251496</v>
      </c>
      <c r="O184" s="19"/>
      <c r="P184" s="229">
        <f t="shared" si="17"/>
        <v>7.3800484911278161</v>
      </c>
      <c r="Q184" s="229">
        <f t="shared" si="21"/>
        <v>9.6720502499148964</v>
      </c>
      <c r="R184" s="144"/>
    </row>
    <row r="185" spans="2:18">
      <c r="B185" s="142">
        <f t="shared" si="18"/>
        <v>2036</v>
      </c>
      <c r="C185" s="19">
        <f t="shared" si="19"/>
        <v>12</v>
      </c>
      <c r="D185" s="143">
        <v>50010</v>
      </c>
      <c r="E185" s="19" t="str">
        <f t="shared" si="20"/>
        <v>12-2036</v>
      </c>
      <c r="F185" s="91">
        <f>'IEPR Gas Prices Real'!F187*(INDEX('GDP Deflator'!$D$6:$D$91,MATCH('IEPR Gas Prices Nominal'!$B185,'GDP Deflator'!$B$6:$B$91,0)))</f>
        <v>7.1047016136517058</v>
      </c>
      <c r="G185" s="91">
        <f>'IEPR Gas Prices Real'!G187*(INDEX('GDP Deflator'!$D$6:$D$91,MATCH('IEPR Gas Prices Nominal'!$B185,'GDP Deflator'!$B$6:$B$91,0)))</f>
        <v>2.0040542113407214</v>
      </c>
      <c r="H185" s="91">
        <f>'IEPR Gas Prices Real'!H187*(INDEX('GDP Deflator'!$D$6:$D$91,MATCH('IEPR Gas Prices Nominal'!$B185,'GDP Deflator'!$B$6:$B$91,0)))</f>
        <v>9.1087558249924268</v>
      </c>
      <c r="I185" s="91">
        <f>'IEPR Gas Prices Real'!I187*(INDEX('GDP Deflator'!$D$6:$D$91,MATCH('IEPR Gas Prices Nominal'!$B185,'GDP Deflator'!$B$6:$B$91,0)))</f>
        <v>7.4576394250143707</v>
      </c>
      <c r="J185" s="91">
        <f>'IEPR Gas Prices Real'!J187*(INDEX('GDP Deflator'!$D$6:$D$91,MATCH('IEPR Gas Prices Nominal'!$B185,'GDP Deflator'!$B$6:$B$91,0)))</f>
        <v>3.3091781555212609</v>
      </c>
      <c r="K185" s="91">
        <f>'IEPR Gas Prices Real'!K187*(INDEX('GDP Deflator'!$D$6:$D$91,MATCH('IEPR Gas Prices Nominal'!$B185,'GDP Deflator'!$B$6:$B$91,0)))</f>
        <v>10.766817580535632</v>
      </c>
      <c r="L185" s="91">
        <f>'IEPR Gas Prices Real'!L187*(INDEX('GDP Deflator'!$D$6:$D$91,MATCH('IEPR Gas Prices Nominal'!$B185,'GDP Deflator'!$B$6:$B$91,0)))</f>
        <v>7.7546029582954157</v>
      </c>
      <c r="M185" s="91">
        <f>'IEPR Gas Prices Real'!M187*(INDEX('GDP Deflator'!$D$6:$D$91,MATCH('IEPR Gas Prices Nominal'!$B185,'GDP Deflator'!$B$6:$B$91,0)))</f>
        <v>1.5627729094992571</v>
      </c>
      <c r="N185" s="91">
        <f>'IEPR Gas Prices Real'!N187*(INDEX('GDP Deflator'!$D$6:$D$91,MATCH('IEPR Gas Prices Nominal'!$B185,'GDP Deflator'!$B$6:$B$91,0)))</f>
        <v>9.3173758677946719</v>
      </c>
      <c r="O185" s="19"/>
      <c r="P185" s="229">
        <f t="shared" si="17"/>
        <v>7.4389813323204974</v>
      </c>
      <c r="Q185" s="229">
        <f t="shared" si="21"/>
        <v>9.7309830911075768</v>
      </c>
      <c r="R185" s="144"/>
    </row>
    <row r="186" spans="2:18">
      <c r="B186" s="142">
        <f t="shared" si="18"/>
        <v>2037</v>
      </c>
      <c r="C186" s="19">
        <f t="shared" si="19"/>
        <v>1</v>
      </c>
      <c r="D186" s="143">
        <v>50041</v>
      </c>
      <c r="E186" s="19" t="str">
        <f t="shared" si="20"/>
        <v>1-2037</v>
      </c>
      <c r="F186" s="91">
        <f>'IEPR Gas Prices Real'!F188*(INDEX('GDP Deflator'!$D$6:$D$91,MATCH('IEPR Gas Prices Nominal'!$B186,'GDP Deflator'!$B$6:$B$91,0)))</f>
        <v>7.263286500535874</v>
      </c>
      <c r="G186" s="91">
        <f>'IEPR Gas Prices Real'!G188*(INDEX('GDP Deflator'!$D$6:$D$91,MATCH('IEPR Gas Prices Nominal'!$B186,'GDP Deflator'!$B$6:$B$91,0)))</f>
        <v>2.1305720091151366</v>
      </c>
      <c r="H186" s="91">
        <f>'IEPR Gas Prices Real'!H188*(INDEX('GDP Deflator'!$D$6:$D$91,MATCH('IEPR Gas Prices Nominal'!$B186,'GDP Deflator'!$B$6:$B$91,0)))</f>
        <v>9.3938585096510092</v>
      </c>
      <c r="I186" s="91">
        <f>'IEPR Gas Prices Real'!I188*(INDEX('GDP Deflator'!$D$6:$D$91,MATCH('IEPR Gas Prices Nominal'!$B186,'GDP Deflator'!$B$6:$B$91,0)))</f>
        <v>7.6240311437026831</v>
      </c>
      <c r="J186" s="91">
        <f>'IEPR Gas Prices Real'!J188*(INDEX('GDP Deflator'!$D$6:$D$91,MATCH('IEPR Gas Prices Nominal'!$B186,'GDP Deflator'!$B$6:$B$91,0)))</f>
        <v>3.5180896362140213</v>
      </c>
      <c r="K186" s="91">
        <f>'IEPR Gas Prices Real'!K188*(INDEX('GDP Deflator'!$D$6:$D$91,MATCH('IEPR Gas Prices Nominal'!$B186,'GDP Deflator'!$B$6:$B$91,0)))</f>
        <v>11.142120779916706</v>
      </c>
      <c r="L186" s="91">
        <f>'IEPR Gas Prices Real'!L188*(INDEX('GDP Deflator'!$D$6:$D$91,MATCH('IEPR Gas Prices Nominal'!$B186,'GDP Deflator'!$B$6:$B$91,0)))</f>
        <v>7.9268441525903546</v>
      </c>
      <c r="M186" s="91">
        <f>'IEPR Gas Prices Real'!M188*(INDEX('GDP Deflator'!$D$6:$D$91,MATCH('IEPR Gas Prices Nominal'!$B186,'GDP Deflator'!$B$6:$B$91,0)))</f>
        <v>1.6614322101371806</v>
      </c>
      <c r="N186" s="91">
        <f>'IEPR Gas Prices Real'!N188*(INDEX('GDP Deflator'!$D$6:$D$91,MATCH('IEPR Gas Prices Nominal'!$B186,'GDP Deflator'!$B$6:$B$91,0)))</f>
        <v>9.5882763627275356</v>
      </c>
      <c r="O186" s="19"/>
      <c r="P186" s="229">
        <f t="shared" si="17"/>
        <v>7.6047205989429711</v>
      </c>
      <c r="Q186" s="229">
        <f t="shared" si="21"/>
        <v>10.041418550765082</v>
      </c>
      <c r="R186" s="144"/>
    </row>
    <row r="187" spans="2:18">
      <c r="B187" s="142">
        <f t="shared" si="18"/>
        <v>2037</v>
      </c>
      <c r="C187" s="19">
        <f t="shared" si="19"/>
        <v>2</v>
      </c>
      <c r="D187" s="143">
        <v>50072</v>
      </c>
      <c r="E187" s="19" t="str">
        <f t="shared" si="20"/>
        <v>2-2037</v>
      </c>
      <c r="F187" s="91">
        <f>'IEPR Gas Prices Real'!F189*(INDEX('GDP Deflator'!$D$6:$D$91,MATCH('IEPR Gas Prices Nominal'!$B187,'GDP Deflator'!$B$6:$B$91,0)))</f>
        <v>7.1041785278341854</v>
      </c>
      <c r="G187" s="91">
        <f>'IEPR Gas Prices Real'!G189*(INDEX('GDP Deflator'!$D$6:$D$91,MATCH('IEPR Gas Prices Nominal'!$B187,'GDP Deflator'!$B$6:$B$91,0)))</f>
        <v>2.1305720091151366</v>
      </c>
      <c r="H187" s="91">
        <f>'IEPR Gas Prices Real'!H189*(INDEX('GDP Deflator'!$D$6:$D$91,MATCH('IEPR Gas Prices Nominal'!$B187,'GDP Deflator'!$B$6:$B$91,0)))</f>
        <v>9.2347505369493224</v>
      </c>
      <c r="I187" s="91">
        <f>'IEPR Gas Prices Real'!I189*(INDEX('GDP Deflator'!$D$6:$D$91,MATCH('IEPR Gas Prices Nominal'!$B187,'GDP Deflator'!$B$6:$B$91,0)))</f>
        <v>7.4569511976798335</v>
      </c>
      <c r="J187" s="91">
        <f>'IEPR Gas Prices Real'!J189*(INDEX('GDP Deflator'!$D$6:$D$91,MATCH('IEPR Gas Prices Nominal'!$B187,'GDP Deflator'!$B$6:$B$91,0)))</f>
        <v>3.5180896362140213</v>
      </c>
      <c r="K187" s="91">
        <f>'IEPR Gas Prices Real'!K189*(INDEX('GDP Deflator'!$D$6:$D$91,MATCH('IEPR Gas Prices Nominal'!$B187,'GDP Deflator'!$B$6:$B$91,0)))</f>
        <v>10.975040833893855</v>
      </c>
      <c r="L187" s="91">
        <f>'IEPR Gas Prices Real'!L189*(INDEX('GDP Deflator'!$D$6:$D$91,MATCH('IEPR Gas Prices Nominal'!$B187,'GDP Deflator'!$B$6:$B$91,0)))</f>
        <v>7.7523688010380054</v>
      </c>
      <c r="M187" s="91">
        <f>'IEPR Gas Prices Real'!M189*(INDEX('GDP Deflator'!$D$6:$D$91,MATCH('IEPR Gas Prices Nominal'!$B187,'GDP Deflator'!$B$6:$B$91,0)))</f>
        <v>1.6614322101371806</v>
      </c>
      <c r="N187" s="91">
        <f>'IEPR Gas Prices Real'!N189*(INDEX('GDP Deflator'!$D$6:$D$91,MATCH('IEPR Gas Prices Nominal'!$B187,'GDP Deflator'!$B$6:$B$91,0)))</f>
        <v>9.4138010111751864</v>
      </c>
      <c r="O187" s="19"/>
      <c r="P187" s="229">
        <f t="shared" si="17"/>
        <v>7.4378328421840081</v>
      </c>
      <c r="Q187" s="229">
        <f t="shared" si="21"/>
        <v>9.8745307940061213</v>
      </c>
      <c r="R187" s="144"/>
    </row>
    <row r="188" spans="2:18">
      <c r="B188" s="142">
        <f t="shared" si="18"/>
        <v>2037</v>
      </c>
      <c r="C188" s="19">
        <f t="shared" si="19"/>
        <v>3</v>
      </c>
      <c r="D188" s="143">
        <v>50100</v>
      </c>
      <c r="E188" s="19" t="str">
        <f t="shared" si="20"/>
        <v>3-2037</v>
      </c>
      <c r="F188" s="91">
        <f>'IEPR Gas Prices Real'!F190*(INDEX('GDP Deflator'!$D$6:$D$91,MATCH('IEPR Gas Prices Nominal'!$B188,'GDP Deflator'!$B$6:$B$91,0)))</f>
        <v>6.5217828315187285</v>
      </c>
      <c r="G188" s="91">
        <f>'IEPR Gas Prices Real'!G190*(INDEX('GDP Deflator'!$D$6:$D$91,MATCH('IEPR Gas Prices Nominal'!$B188,'GDP Deflator'!$B$6:$B$91,0)))</f>
        <v>2.1305720091151366</v>
      </c>
      <c r="H188" s="91">
        <f>'IEPR Gas Prices Real'!H190*(INDEX('GDP Deflator'!$D$6:$D$91,MATCH('IEPR Gas Prices Nominal'!$B188,'GDP Deflator'!$B$6:$B$91,0)))</f>
        <v>8.6523548406338655</v>
      </c>
      <c r="I188" s="91">
        <f>'IEPR Gas Prices Real'!I190*(INDEX('GDP Deflator'!$D$6:$D$91,MATCH('IEPR Gas Prices Nominal'!$B188,'GDP Deflator'!$B$6:$B$91,0)))</f>
        <v>6.845571560774296</v>
      </c>
      <c r="J188" s="91">
        <f>'IEPR Gas Prices Real'!J190*(INDEX('GDP Deflator'!$D$6:$D$91,MATCH('IEPR Gas Prices Nominal'!$B188,'GDP Deflator'!$B$6:$B$91,0)))</f>
        <v>3.5180896362140213</v>
      </c>
      <c r="K188" s="91">
        <f>'IEPR Gas Prices Real'!K190*(INDEX('GDP Deflator'!$D$6:$D$91,MATCH('IEPR Gas Prices Nominal'!$B188,'GDP Deflator'!$B$6:$B$91,0)))</f>
        <v>10.363661196988318</v>
      </c>
      <c r="L188" s="91">
        <f>'IEPR Gas Prices Real'!L190*(INDEX('GDP Deflator'!$D$6:$D$91,MATCH('IEPR Gas Prices Nominal'!$B188,'GDP Deflator'!$B$6:$B$91,0)))</f>
        <v>7.116071422969755</v>
      </c>
      <c r="M188" s="91">
        <f>'IEPR Gas Prices Real'!M190*(INDEX('GDP Deflator'!$D$6:$D$91,MATCH('IEPR Gas Prices Nominal'!$B188,'GDP Deflator'!$B$6:$B$91,0)))</f>
        <v>1.6614322101371806</v>
      </c>
      <c r="N188" s="91">
        <f>'IEPR Gas Prices Real'!N190*(INDEX('GDP Deflator'!$D$6:$D$91,MATCH('IEPR Gas Prices Nominal'!$B188,'GDP Deflator'!$B$6:$B$91,0)))</f>
        <v>8.7775036331069352</v>
      </c>
      <c r="O188" s="19"/>
      <c r="P188" s="229">
        <f t="shared" si="17"/>
        <v>6.8278086050875926</v>
      </c>
      <c r="Q188" s="229">
        <f t="shared" si="21"/>
        <v>9.2645065569097067</v>
      </c>
      <c r="R188" s="144"/>
    </row>
    <row r="189" spans="2:18">
      <c r="B189" s="142">
        <f t="shared" si="18"/>
        <v>2037</v>
      </c>
      <c r="C189" s="19">
        <f t="shared" si="19"/>
        <v>4</v>
      </c>
      <c r="D189" s="143">
        <v>50131</v>
      </c>
      <c r="E189" s="19" t="str">
        <f t="shared" si="20"/>
        <v>4-2037</v>
      </c>
      <c r="F189" s="91">
        <f>'IEPR Gas Prices Real'!F191*(INDEX('GDP Deflator'!$D$6:$D$91,MATCH('IEPR Gas Prices Nominal'!$B189,'GDP Deflator'!$B$6:$B$91,0)))</f>
        <v>6.4109375599408018</v>
      </c>
      <c r="G189" s="91">
        <f>'IEPR Gas Prices Real'!G191*(INDEX('GDP Deflator'!$D$6:$D$91,MATCH('IEPR Gas Prices Nominal'!$B189,'GDP Deflator'!$B$6:$B$91,0)))</f>
        <v>2.1305720091151366</v>
      </c>
      <c r="H189" s="91">
        <f>'IEPR Gas Prices Real'!H191*(INDEX('GDP Deflator'!$D$6:$D$91,MATCH('IEPR Gas Prices Nominal'!$B189,'GDP Deflator'!$B$6:$B$91,0)))</f>
        <v>8.5415095690559379</v>
      </c>
      <c r="I189" s="91">
        <f>'IEPR Gas Prices Real'!I191*(INDEX('GDP Deflator'!$D$6:$D$91,MATCH('IEPR Gas Prices Nominal'!$B189,'GDP Deflator'!$B$6:$B$91,0)))</f>
        <v>6.7291603283052952</v>
      </c>
      <c r="J189" s="91">
        <f>'IEPR Gas Prices Real'!J191*(INDEX('GDP Deflator'!$D$6:$D$91,MATCH('IEPR Gas Prices Nominal'!$B189,'GDP Deflator'!$B$6:$B$91,0)))</f>
        <v>3.5180896362140213</v>
      </c>
      <c r="K189" s="91">
        <f>'IEPR Gas Prices Real'!K191*(INDEX('GDP Deflator'!$D$6:$D$91,MATCH('IEPR Gas Prices Nominal'!$B189,'GDP Deflator'!$B$6:$B$91,0)))</f>
        <v>10.247249964519316</v>
      </c>
      <c r="L189" s="91">
        <f>'IEPR Gas Prices Real'!L191*(INDEX('GDP Deflator'!$D$6:$D$91,MATCH('IEPR Gas Prices Nominal'!$B189,'GDP Deflator'!$B$6:$B$91,0)))</f>
        <v>6.9943749835938078</v>
      </c>
      <c r="M189" s="91">
        <f>'IEPR Gas Prices Real'!M191*(INDEX('GDP Deflator'!$D$6:$D$91,MATCH('IEPR Gas Prices Nominal'!$B189,'GDP Deflator'!$B$6:$B$91,0)))</f>
        <v>1.6614322101371806</v>
      </c>
      <c r="N189" s="91">
        <f>'IEPR Gas Prices Real'!N191*(INDEX('GDP Deflator'!$D$6:$D$91,MATCH('IEPR Gas Prices Nominal'!$B189,'GDP Deflator'!$B$6:$B$91,0)))</f>
        <v>8.6558071937309897</v>
      </c>
      <c r="O189" s="19"/>
      <c r="P189" s="229">
        <f t="shared" si="17"/>
        <v>6.7114909572799677</v>
      </c>
      <c r="Q189" s="229">
        <f t="shared" si="21"/>
        <v>9.14818890910208</v>
      </c>
      <c r="R189" s="144"/>
    </row>
    <row r="190" spans="2:18">
      <c r="B190" s="142">
        <f t="shared" si="18"/>
        <v>2037</v>
      </c>
      <c r="C190" s="19">
        <f t="shared" si="19"/>
        <v>5</v>
      </c>
      <c r="D190" s="143">
        <v>50161</v>
      </c>
      <c r="E190" s="19" t="str">
        <f t="shared" si="20"/>
        <v>5-2037</v>
      </c>
      <c r="F190" s="91">
        <f>'IEPR Gas Prices Real'!F192*(INDEX('GDP Deflator'!$D$6:$D$91,MATCH('IEPR Gas Prices Nominal'!$B190,'GDP Deflator'!$B$6:$B$91,0)))</f>
        <v>6.6341872987514927</v>
      </c>
      <c r="G190" s="91">
        <f>'IEPR Gas Prices Real'!G192*(INDEX('GDP Deflator'!$D$6:$D$91,MATCH('IEPR Gas Prices Nominal'!$B190,'GDP Deflator'!$B$6:$B$91,0)))</f>
        <v>2.1305720091151366</v>
      </c>
      <c r="H190" s="91">
        <f>'IEPR Gas Prices Real'!H192*(INDEX('GDP Deflator'!$D$6:$D$91,MATCH('IEPR Gas Prices Nominal'!$B190,'GDP Deflator'!$B$6:$B$91,0)))</f>
        <v>8.7647593078666297</v>
      </c>
      <c r="I190" s="91">
        <f>'IEPR Gas Prices Real'!I192*(INDEX('GDP Deflator'!$D$6:$D$91,MATCH('IEPR Gas Prices Nominal'!$B190,'GDP Deflator'!$B$6:$B$91,0)))</f>
        <v>6.963426635895563</v>
      </c>
      <c r="J190" s="91">
        <f>'IEPR Gas Prices Real'!J192*(INDEX('GDP Deflator'!$D$6:$D$91,MATCH('IEPR Gas Prices Nominal'!$B190,'GDP Deflator'!$B$6:$B$91,0)))</f>
        <v>3.5180896362140213</v>
      </c>
      <c r="K190" s="91">
        <f>'IEPR Gas Prices Real'!K192*(INDEX('GDP Deflator'!$D$6:$D$91,MATCH('IEPR Gas Prices Nominal'!$B190,'GDP Deflator'!$B$6:$B$91,0)))</f>
        <v>10.481516272109584</v>
      </c>
      <c r="L190" s="91">
        <f>'IEPR Gas Prices Real'!L192*(INDEX('GDP Deflator'!$D$6:$D$91,MATCH('IEPR Gas Prices Nominal'!$B190,'GDP Deflator'!$B$6:$B$91,0)))</f>
        <v>7.2371652012432985</v>
      </c>
      <c r="M190" s="91">
        <f>'IEPR Gas Prices Real'!M192*(INDEX('GDP Deflator'!$D$6:$D$91,MATCH('IEPR Gas Prices Nominal'!$B190,'GDP Deflator'!$B$6:$B$91,0)))</f>
        <v>1.6614322101371806</v>
      </c>
      <c r="N190" s="91">
        <f>'IEPR Gas Prices Real'!N192*(INDEX('GDP Deflator'!$D$6:$D$91,MATCH('IEPR Gas Prices Nominal'!$B190,'GDP Deflator'!$B$6:$B$91,0)))</f>
        <v>8.8985974113804787</v>
      </c>
      <c r="O190" s="19"/>
      <c r="P190" s="229">
        <f t="shared" si="17"/>
        <v>6.9449263786301181</v>
      </c>
      <c r="Q190" s="229">
        <f t="shared" si="21"/>
        <v>9.3816243304522313</v>
      </c>
      <c r="R190" s="144"/>
    </row>
    <row r="191" spans="2:18">
      <c r="B191" s="142">
        <f t="shared" si="18"/>
        <v>2037</v>
      </c>
      <c r="C191" s="19">
        <f t="shared" si="19"/>
        <v>6</v>
      </c>
      <c r="D191" s="143">
        <v>50192</v>
      </c>
      <c r="E191" s="19" t="str">
        <f t="shared" si="20"/>
        <v>6-2037</v>
      </c>
      <c r="F191" s="91">
        <f>'IEPR Gas Prices Real'!F193*(INDEX('GDP Deflator'!$D$6:$D$91,MATCH('IEPR Gas Prices Nominal'!$B191,'GDP Deflator'!$B$6:$B$91,0)))</f>
        <v>6.8058292067992907</v>
      </c>
      <c r="G191" s="91">
        <f>'IEPR Gas Prices Real'!G193*(INDEX('GDP Deflator'!$D$6:$D$91,MATCH('IEPR Gas Prices Nominal'!$B191,'GDP Deflator'!$B$6:$B$91,0)))</f>
        <v>2.1305720091151366</v>
      </c>
      <c r="H191" s="91">
        <f>'IEPR Gas Prices Real'!H193*(INDEX('GDP Deflator'!$D$6:$D$91,MATCH('IEPR Gas Prices Nominal'!$B191,'GDP Deflator'!$B$6:$B$91,0)))</f>
        <v>8.9364012159144277</v>
      </c>
      <c r="I191" s="91">
        <f>'IEPR Gas Prices Real'!I193*(INDEX('GDP Deflator'!$D$6:$D$91,MATCH('IEPR Gas Prices Nominal'!$B191,'GDP Deflator'!$B$6:$B$91,0)))</f>
        <v>7.1435200646277028</v>
      </c>
      <c r="J191" s="91">
        <f>'IEPR Gas Prices Real'!J193*(INDEX('GDP Deflator'!$D$6:$D$91,MATCH('IEPR Gas Prices Nominal'!$B191,'GDP Deflator'!$B$6:$B$91,0)))</f>
        <v>3.5180896362140213</v>
      </c>
      <c r="K191" s="91">
        <f>'IEPR Gas Prices Real'!K193*(INDEX('GDP Deflator'!$D$6:$D$91,MATCH('IEPR Gas Prices Nominal'!$B191,'GDP Deflator'!$B$6:$B$91,0)))</f>
        <v>10.661609700841725</v>
      </c>
      <c r="L191" s="91">
        <f>'IEPR Gas Prices Real'!L193*(INDEX('GDP Deflator'!$D$6:$D$91,MATCH('IEPR Gas Prices Nominal'!$B191,'GDP Deflator'!$B$6:$B$91,0)))</f>
        <v>7.4236107107802312</v>
      </c>
      <c r="M191" s="91">
        <f>'IEPR Gas Prices Real'!M193*(INDEX('GDP Deflator'!$D$6:$D$91,MATCH('IEPR Gas Prices Nominal'!$B191,'GDP Deflator'!$B$6:$B$91,0)))</f>
        <v>1.6614322101371806</v>
      </c>
      <c r="N191" s="91">
        <f>'IEPR Gas Prices Real'!N193*(INDEX('GDP Deflator'!$D$6:$D$91,MATCH('IEPR Gas Prices Nominal'!$B191,'GDP Deflator'!$B$6:$B$91,0)))</f>
        <v>9.0850429209174113</v>
      </c>
      <c r="O191" s="19"/>
      <c r="P191" s="229">
        <f t="shared" si="17"/>
        <v>7.1243199940690749</v>
      </c>
      <c r="Q191" s="229">
        <f t="shared" si="21"/>
        <v>9.5610179458911873</v>
      </c>
      <c r="R191" s="144"/>
    </row>
    <row r="192" spans="2:18">
      <c r="B192" s="142">
        <f t="shared" si="18"/>
        <v>2037</v>
      </c>
      <c r="C192" s="19">
        <f t="shared" si="19"/>
        <v>7</v>
      </c>
      <c r="D192" s="143">
        <v>50222</v>
      </c>
      <c r="E192" s="19" t="str">
        <f t="shared" si="20"/>
        <v>7-2037</v>
      </c>
      <c r="F192" s="91">
        <f>'IEPR Gas Prices Real'!F194*(INDEX('GDP Deflator'!$D$6:$D$91,MATCH('IEPR Gas Prices Nominal'!$B192,'GDP Deflator'!$B$6:$B$91,0)))</f>
        <v>6.8599587213673976</v>
      </c>
      <c r="G192" s="91">
        <f>'IEPR Gas Prices Real'!G194*(INDEX('GDP Deflator'!$D$6:$D$91,MATCH('IEPR Gas Prices Nominal'!$B192,'GDP Deflator'!$B$6:$B$91,0)))</f>
        <v>2.1305720091151366</v>
      </c>
      <c r="H192" s="91">
        <f>'IEPR Gas Prices Real'!H194*(INDEX('GDP Deflator'!$D$6:$D$91,MATCH('IEPR Gas Prices Nominal'!$B192,'GDP Deflator'!$B$6:$B$91,0)))</f>
        <v>8.9905307304825346</v>
      </c>
      <c r="I192" s="91">
        <f>'IEPR Gas Prices Real'!I194*(INDEX('GDP Deflator'!$D$6:$D$91,MATCH('IEPR Gas Prices Nominal'!$B192,'GDP Deflator'!$B$6:$B$91,0)))</f>
        <v>7.2002681687442234</v>
      </c>
      <c r="J192" s="91">
        <f>'IEPR Gas Prices Real'!J194*(INDEX('GDP Deflator'!$D$6:$D$91,MATCH('IEPR Gas Prices Nominal'!$B192,'GDP Deflator'!$B$6:$B$91,0)))</f>
        <v>3.5180896362140213</v>
      </c>
      <c r="K192" s="91">
        <f>'IEPR Gas Prices Real'!K194*(INDEX('GDP Deflator'!$D$6:$D$91,MATCH('IEPR Gas Prices Nominal'!$B192,'GDP Deflator'!$B$6:$B$91,0)))</f>
        <v>10.718357804958245</v>
      </c>
      <c r="L192" s="91">
        <f>'IEPR Gas Prices Real'!L194*(INDEX('GDP Deflator'!$D$6:$D$91,MATCH('IEPR Gas Prices Nominal'!$B192,'GDP Deflator'!$B$6:$B$91,0)))</f>
        <v>7.4818504747452819</v>
      </c>
      <c r="M192" s="91">
        <f>'IEPR Gas Prices Real'!M194*(INDEX('GDP Deflator'!$D$6:$D$91,MATCH('IEPR Gas Prices Nominal'!$B192,'GDP Deflator'!$B$6:$B$91,0)))</f>
        <v>1.6614322101371806</v>
      </c>
      <c r="N192" s="91">
        <f>'IEPR Gas Prices Real'!N194*(INDEX('GDP Deflator'!$D$6:$D$91,MATCH('IEPR Gas Prices Nominal'!$B192,'GDP Deflator'!$B$6:$B$91,0)))</f>
        <v>9.1432826848824629</v>
      </c>
      <c r="O192" s="19"/>
      <c r="P192" s="229">
        <f t="shared" si="17"/>
        <v>7.1806924549523012</v>
      </c>
      <c r="Q192" s="229">
        <f t="shared" si="21"/>
        <v>9.6173904067744136</v>
      </c>
      <c r="R192" s="144"/>
    </row>
    <row r="193" spans="2:18">
      <c r="B193" s="142">
        <f t="shared" si="18"/>
        <v>2037</v>
      </c>
      <c r="C193" s="19">
        <f t="shared" si="19"/>
        <v>8</v>
      </c>
      <c r="D193" s="143">
        <v>50253</v>
      </c>
      <c r="E193" s="19" t="str">
        <f t="shared" si="20"/>
        <v>8-2037</v>
      </c>
      <c r="F193" s="91">
        <f>'IEPR Gas Prices Real'!F195*(INDEX('GDP Deflator'!$D$6:$D$91,MATCH('IEPR Gas Prices Nominal'!$B193,'GDP Deflator'!$B$6:$B$91,0)))</f>
        <v>6.8071067627812116</v>
      </c>
      <c r="G193" s="91">
        <f>'IEPR Gas Prices Real'!G195*(INDEX('GDP Deflator'!$D$6:$D$91,MATCH('IEPR Gas Prices Nominal'!$B193,'GDP Deflator'!$B$6:$B$91,0)))</f>
        <v>2.1305720091151366</v>
      </c>
      <c r="H193" s="91">
        <f>'IEPR Gas Prices Real'!H195*(INDEX('GDP Deflator'!$D$6:$D$91,MATCH('IEPR Gas Prices Nominal'!$B193,'GDP Deflator'!$B$6:$B$91,0)))</f>
        <v>8.9376787718963495</v>
      </c>
      <c r="I193" s="91">
        <f>'IEPR Gas Prices Real'!I195*(INDEX('GDP Deflator'!$D$6:$D$91,MATCH('IEPR Gas Prices Nominal'!$B193,'GDP Deflator'!$B$6:$B$91,0)))</f>
        <v>7.1447276377476783</v>
      </c>
      <c r="J193" s="91">
        <f>'IEPR Gas Prices Real'!J195*(INDEX('GDP Deflator'!$D$6:$D$91,MATCH('IEPR Gas Prices Nominal'!$B193,'GDP Deflator'!$B$6:$B$91,0)))</f>
        <v>3.5180896362140213</v>
      </c>
      <c r="K193" s="91">
        <f>'IEPR Gas Prices Real'!K195*(INDEX('GDP Deflator'!$D$6:$D$91,MATCH('IEPR Gas Prices Nominal'!$B193,'GDP Deflator'!$B$6:$B$91,0)))</f>
        <v>10.6628172739617</v>
      </c>
      <c r="L193" s="91">
        <f>'IEPR Gas Prices Real'!L195*(INDEX('GDP Deflator'!$D$6:$D$91,MATCH('IEPR Gas Prices Nominal'!$B193,'GDP Deflator'!$B$6:$B$91,0)))</f>
        <v>7.4234101412599136</v>
      </c>
      <c r="M193" s="91">
        <f>'IEPR Gas Prices Real'!M195*(INDEX('GDP Deflator'!$D$6:$D$91,MATCH('IEPR Gas Prices Nominal'!$B193,'GDP Deflator'!$B$6:$B$91,0)))</f>
        <v>1.6614322101371806</v>
      </c>
      <c r="N193" s="91">
        <f>'IEPR Gas Prices Real'!N195*(INDEX('GDP Deflator'!$D$6:$D$91,MATCH('IEPR Gas Prices Nominal'!$B193,'GDP Deflator'!$B$6:$B$91,0)))</f>
        <v>9.0848423513970946</v>
      </c>
      <c r="O193" s="19"/>
      <c r="P193" s="229">
        <f t="shared" si="17"/>
        <v>7.1250815139296009</v>
      </c>
      <c r="Q193" s="229">
        <f t="shared" si="21"/>
        <v>9.5617794657517141</v>
      </c>
      <c r="R193" s="144"/>
    </row>
    <row r="194" spans="2:18">
      <c r="B194" s="142">
        <f t="shared" si="18"/>
        <v>2037</v>
      </c>
      <c r="C194" s="19">
        <f t="shared" si="19"/>
        <v>9</v>
      </c>
      <c r="D194" s="143">
        <v>50284</v>
      </c>
      <c r="E194" s="19" t="str">
        <f t="shared" si="20"/>
        <v>9-2037</v>
      </c>
      <c r="F194" s="91">
        <f>'IEPR Gas Prices Real'!F196*(INDEX('GDP Deflator'!$D$6:$D$91,MATCH('IEPR Gas Prices Nominal'!$B194,'GDP Deflator'!$B$6:$B$91,0)))</f>
        <v>6.9029915937551145</v>
      </c>
      <c r="G194" s="91">
        <f>'IEPR Gas Prices Real'!G196*(INDEX('GDP Deflator'!$D$6:$D$91,MATCH('IEPR Gas Prices Nominal'!$B194,'GDP Deflator'!$B$6:$B$91,0)))</f>
        <v>2.1305720091151366</v>
      </c>
      <c r="H194" s="91">
        <f>'IEPR Gas Prices Real'!H196*(INDEX('GDP Deflator'!$D$6:$D$91,MATCH('IEPR Gas Prices Nominal'!$B194,'GDP Deflator'!$B$6:$B$91,0)))</f>
        <v>9.0335636028702506</v>
      </c>
      <c r="I194" s="91">
        <f>'IEPR Gas Prices Real'!I196*(INDEX('GDP Deflator'!$D$6:$D$91,MATCH('IEPR Gas Prices Nominal'!$B194,'GDP Deflator'!$B$6:$B$91,0)))</f>
        <v>7.245300562608465</v>
      </c>
      <c r="J194" s="91">
        <f>'IEPR Gas Prices Real'!J196*(INDEX('GDP Deflator'!$D$6:$D$91,MATCH('IEPR Gas Prices Nominal'!$B194,'GDP Deflator'!$B$6:$B$91,0)))</f>
        <v>3.5180896362140213</v>
      </c>
      <c r="K194" s="91">
        <f>'IEPR Gas Prices Real'!K196*(INDEX('GDP Deflator'!$D$6:$D$91,MATCH('IEPR Gas Prices Nominal'!$B194,'GDP Deflator'!$B$6:$B$91,0)))</f>
        <v>10.763390198822487</v>
      </c>
      <c r="L194" s="91">
        <f>'IEPR Gas Prices Real'!L196*(INDEX('GDP Deflator'!$D$6:$D$91,MATCH('IEPR Gas Prices Nominal'!$B194,'GDP Deflator'!$B$6:$B$91,0)))</f>
        <v>7.5271678882161508</v>
      </c>
      <c r="M194" s="91">
        <f>'IEPR Gas Prices Real'!M196*(INDEX('GDP Deflator'!$D$6:$D$91,MATCH('IEPR Gas Prices Nominal'!$B194,'GDP Deflator'!$B$6:$B$91,0)))</f>
        <v>1.6614322101371806</v>
      </c>
      <c r="N194" s="91">
        <f>'IEPR Gas Prices Real'!N196*(INDEX('GDP Deflator'!$D$6:$D$91,MATCH('IEPR Gas Prices Nominal'!$B194,'GDP Deflator'!$B$6:$B$91,0)))</f>
        <v>9.1886000983533318</v>
      </c>
      <c r="O194" s="19"/>
      <c r="P194" s="229">
        <f t="shared" si="17"/>
        <v>7.2251533481932428</v>
      </c>
      <c r="Q194" s="229">
        <f t="shared" si="21"/>
        <v>9.661851300015357</v>
      </c>
      <c r="R194" s="144"/>
    </row>
    <row r="195" spans="2:18">
      <c r="B195" s="142">
        <f t="shared" si="18"/>
        <v>2037</v>
      </c>
      <c r="C195" s="19">
        <f t="shared" si="19"/>
        <v>10</v>
      </c>
      <c r="D195" s="143">
        <v>50314</v>
      </c>
      <c r="E195" s="19" t="str">
        <f t="shared" si="20"/>
        <v>10-2037</v>
      </c>
      <c r="F195" s="91">
        <f>'IEPR Gas Prices Real'!F197*(INDEX('GDP Deflator'!$D$6:$D$91,MATCH('IEPR Gas Prices Nominal'!$B195,'GDP Deflator'!$B$6:$B$91,0)))</f>
        <v>6.8633492087037569</v>
      </c>
      <c r="G195" s="91">
        <f>'IEPR Gas Prices Real'!G197*(INDEX('GDP Deflator'!$D$6:$D$91,MATCH('IEPR Gas Prices Nominal'!$B195,'GDP Deflator'!$B$6:$B$91,0)))</f>
        <v>2.1305720091151366</v>
      </c>
      <c r="H195" s="91">
        <f>'IEPR Gas Prices Real'!H197*(INDEX('GDP Deflator'!$D$6:$D$91,MATCH('IEPR Gas Prices Nominal'!$B195,'GDP Deflator'!$B$6:$B$91,0)))</f>
        <v>8.9939212178188939</v>
      </c>
      <c r="I195" s="91">
        <f>'IEPR Gas Prices Real'!I197*(INDEX('GDP Deflator'!$D$6:$D$91,MATCH('IEPR Gas Prices Nominal'!$B195,'GDP Deflator'!$B$6:$B$91,0)))</f>
        <v>7.2036251267033267</v>
      </c>
      <c r="J195" s="91">
        <f>'IEPR Gas Prices Real'!J197*(INDEX('GDP Deflator'!$D$6:$D$91,MATCH('IEPR Gas Prices Nominal'!$B195,'GDP Deflator'!$B$6:$B$91,0)))</f>
        <v>3.5180896362140213</v>
      </c>
      <c r="K195" s="91">
        <f>'IEPR Gas Prices Real'!K197*(INDEX('GDP Deflator'!$D$6:$D$91,MATCH('IEPR Gas Prices Nominal'!$B195,'GDP Deflator'!$B$6:$B$91,0)))</f>
        <v>10.721714762917347</v>
      </c>
      <c r="L195" s="91">
        <f>'IEPR Gas Prices Real'!L197*(INDEX('GDP Deflator'!$D$6:$D$91,MATCH('IEPR Gas Prices Nominal'!$B195,'GDP Deflator'!$B$6:$B$91,0)))</f>
        <v>7.483137274047496</v>
      </c>
      <c r="M195" s="91">
        <f>'IEPR Gas Prices Real'!M197*(INDEX('GDP Deflator'!$D$6:$D$91,MATCH('IEPR Gas Prices Nominal'!$B195,'GDP Deflator'!$B$6:$B$91,0)))</f>
        <v>1.6614322101371806</v>
      </c>
      <c r="N195" s="91">
        <f>'IEPR Gas Prices Real'!N197*(INDEX('GDP Deflator'!$D$6:$D$91,MATCH('IEPR Gas Prices Nominal'!$B195,'GDP Deflator'!$B$6:$B$91,0)))</f>
        <v>9.144569484184677</v>
      </c>
      <c r="O195" s="19"/>
      <c r="P195" s="229">
        <f t="shared" si="17"/>
        <v>7.1833705364848592</v>
      </c>
      <c r="Q195" s="229">
        <f t="shared" si="21"/>
        <v>9.6200684883069716</v>
      </c>
      <c r="R195" s="144"/>
    </row>
    <row r="196" spans="2:18">
      <c r="B196" s="142">
        <f t="shared" si="18"/>
        <v>2037</v>
      </c>
      <c r="C196" s="19">
        <f t="shared" si="19"/>
        <v>11</v>
      </c>
      <c r="D196" s="143">
        <v>50345</v>
      </c>
      <c r="E196" s="19" t="str">
        <f t="shared" si="20"/>
        <v>11-2037</v>
      </c>
      <c r="F196" s="91">
        <f>'IEPR Gas Prices Real'!F198*(INDEX('GDP Deflator'!$D$6:$D$91,MATCH('IEPR Gas Prices Nominal'!$B196,'GDP Deflator'!$B$6:$B$91,0)))</f>
        <v>7.2027257876834758</v>
      </c>
      <c r="G196" s="91">
        <f>'IEPR Gas Prices Real'!G198*(INDEX('GDP Deflator'!$D$6:$D$91,MATCH('IEPR Gas Prices Nominal'!$B196,'GDP Deflator'!$B$6:$B$91,0)))</f>
        <v>2.1305720091151366</v>
      </c>
      <c r="H196" s="91">
        <f>'IEPR Gas Prices Real'!H198*(INDEX('GDP Deflator'!$D$6:$D$91,MATCH('IEPR Gas Prices Nominal'!$B196,'GDP Deflator'!$B$6:$B$91,0)))</f>
        <v>9.3332977967986128</v>
      </c>
      <c r="I196" s="91">
        <f>'IEPR Gas Prices Real'!I198*(INDEX('GDP Deflator'!$D$6:$D$91,MATCH('IEPR Gas Prices Nominal'!$B196,'GDP Deflator'!$B$6:$B$91,0)))</f>
        <v>7.5597569818121331</v>
      </c>
      <c r="J196" s="91">
        <f>'IEPR Gas Prices Real'!J198*(INDEX('GDP Deflator'!$D$6:$D$91,MATCH('IEPR Gas Prices Nominal'!$B196,'GDP Deflator'!$B$6:$B$91,0)))</f>
        <v>3.5180896362140213</v>
      </c>
      <c r="K196" s="91">
        <f>'IEPR Gas Prices Real'!K198*(INDEX('GDP Deflator'!$D$6:$D$91,MATCH('IEPR Gas Prices Nominal'!$B196,'GDP Deflator'!$B$6:$B$91,0)))</f>
        <v>11.077846618026154</v>
      </c>
      <c r="L196" s="91">
        <f>'IEPR Gas Prices Real'!L198*(INDEX('GDP Deflator'!$D$6:$D$91,MATCH('IEPR Gas Prices Nominal'!$B196,'GDP Deflator'!$B$6:$B$91,0)))</f>
        <v>7.8523174254025276</v>
      </c>
      <c r="M196" s="91">
        <f>'IEPR Gas Prices Real'!M198*(INDEX('GDP Deflator'!$D$6:$D$91,MATCH('IEPR Gas Prices Nominal'!$B196,'GDP Deflator'!$B$6:$B$91,0)))</f>
        <v>1.6614322101371806</v>
      </c>
      <c r="N196" s="91">
        <f>'IEPR Gas Prices Real'!N198*(INDEX('GDP Deflator'!$D$6:$D$91,MATCH('IEPR Gas Prices Nominal'!$B196,'GDP Deflator'!$B$6:$B$91,0)))</f>
        <v>9.5137496355397086</v>
      </c>
      <c r="O196" s="19"/>
      <c r="P196" s="229">
        <f t="shared" si="17"/>
        <v>7.5382667316327128</v>
      </c>
      <c r="Q196" s="229">
        <f t="shared" si="21"/>
        <v>9.9749646834548269</v>
      </c>
      <c r="R196" s="144"/>
    </row>
    <row r="197" spans="2:18">
      <c r="B197" s="142">
        <f t="shared" si="18"/>
        <v>2037</v>
      </c>
      <c r="C197" s="19">
        <f t="shared" si="19"/>
        <v>12</v>
      </c>
      <c r="D197" s="143">
        <v>50375</v>
      </c>
      <c r="E197" s="19" t="str">
        <f t="shared" si="20"/>
        <v>12-2037</v>
      </c>
      <c r="F197" s="91">
        <f>'IEPR Gas Prices Real'!F199*(INDEX('GDP Deflator'!$D$6:$D$91,MATCH('IEPR Gas Prices Nominal'!$B197,'GDP Deflator'!$B$6:$B$91,0)))</f>
        <v>7.260804777408544</v>
      </c>
      <c r="G197" s="91">
        <f>'IEPR Gas Prices Real'!G199*(INDEX('GDP Deflator'!$D$6:$D$91,MATCH('IEPR Gas Prices Nominal'!$B197,'GDP Deflator'!$B$6:$B$91,0)))</f>
        <v>2.1305720091151366</v>
      </c>
      <c r="H197" s="91">
        <f>'IEPR Gas Prices Real'!H199*(INDEX('GDP Deflator'!$D$6:$D$91,MATCH('IEPR Gas Prices Nominal'!$B197,'GDP Deflator'!$B$6:$B$91,0)))</f>
        <v>9.391376786523681</v>
      </c>
      <c r="I197" s="91">
        <f>'IEPR Gas Prices Real'!I199*(INDEX('GDP Deflator'!$D$6:$D$91,MATCH('IEPR Gas Prices Nominal'!$B197,'GDP Deflator'!$B$6:$B$91,0)))</f>
        <v>7.6206437381774661</v>
      </c>
      <c r="J197" s="91">
        <f>'IEPR Gas Prices Real'!J199*(INDEX('GDP Deflator'!$D$6:$D$91,MATCH('IEPR Gas Prices Nominal'!$B197,'GDP Deflator'!$B$6:$B$91,0)))</f>
        <v>3.5180896362140213</v>
      </c>
      <c r="K197" s="91">
        <f>'IEPR Gas Prices Real'!K199*(INDEX('GDP Deflator'!$D$6:$D$91,MATCH('IEPR Gas Prices Nominal'!$B197,'GDP Deflator'!$B$6:$B$91,0)))</f>
        <v>11.138733374391485</v>
      </c>
      <c r="L197" s="91">
        <f>'IEPR Gas Prices Real'!L199*(INDEX('GDP Deflator'!$D$6:$D$91,MATCH('IEPR Gas Prices Nominal'!$B197,'GDP Deflator'!$B$6:$B$91,0)))</f>
        <v>7.9147840422600266</v>
      </c>
      <c r="M197" s="91">
        <f>'IEPR Gas Prices Real'!M199*(INDEX('GDP Deflator'!$D$6:$D$91,MATCH('IEPR Gas Prices Nominal'!$B197,'GDP Deflator'!$B$6:$B$91,0)))</f>
        <v>1.6614322101371806</v>
      </c>
      <c r="N197" s="91">
        <f>'IEPR Gas Prices Real'!N199*(INDEX('GDP Deflator'!$D$6:$D$91,MATCH('IEPR Gas Prices Nominal'!$B197,'GDP Deflator'!$B$6:$B$91,0)))</f>
        <v>9.5762162523972076</v>
      </c>
      <c r="O197" s="19"/>
      <c r="P197" s="229">
        <f t="shared" si="17"/>
        <v>7.5987441859486786</v>
      </c>
      <c r="Q197" s="229">
        <f t="shared" si="21"/>
        <v>10.035442137770792</v>
      </c>
      <c r="R197" s="144"/>
    </row>
    <row r="198" spans="2:18">
      <c r="B198" s="142">
        <f t="shared" si="18"/>
        <v>2038</v>
      </c>
      <c r="C198" s="19">
        <f t="shared" si="19"/>
        <v>1</v>
      </c>
      <c r="D198" s="143">
        <v>50406</v>
      </c>
      <c r="E198" s="19" t="str">
        <f t="shared" si="20"/>
        <v>1-2038</v>
      </c>
      <c r="F198" s="91">
        <f>'IEPR Gas Prices Real'!F200*(INDEX('GDP Deflator'!$D$6:$D$91,MATCH('IEPR Gas Prices Nominal'!$B198,'GDP Deflator'!$B$6:$B$91,0)))</f>
        <v>7.4243142561429973</v>
      </c>
      <c r="G198" s="91">
        <f>'IEPR Gas Prices Real'!G200*(INDEX('GDP Deflator'!$D$6:$D$91,MATCH('IEPR Gas Prices Nominal'!$B198,'GDP Deflator'!$B$6:$B$91,0)))</f>
        <v>2.2655122143547377</v>
      </c>
      <c r="H198" s="91">
        <f>'IEPR Gas Prices Real'!H200*(INDEX('GDP Deflator'!$D$6:$D$91,MATCH('IEPR Gas Prices Nominal'!$B198,'GDP Deflator'!$B$6:$B$91,0)))</f>
        <v>9.689826470497735</v>
      </c>
      <c r="I198" s="91">
        <f>'IEPR Gas Prices Real'!I200*(INDEX('GDP Deflator'!$D$6:$D$91,MATCH('IEPR Gas Prices Nominal'!$B198,'GDP Deflator'!$B$6:$B$91,0)))</f>
        <v>7.7921840045579387</v>
      </c>
      <c r="J198" s="91">
        <f>'IEPR Gas Prices Real'!J200*(INDEX('GDP Deflator'!$D$6:$D$91,MATCH('IEPR Gas Prices Nominal'!$B198,'GDP Deflator'!$B$6:$B$91,0)))</f>
        <v>3.7409085484737385</v>
      </c>
      <c r="K198" s="91">
        <f>'IEPR Gas Prices Real'!K200*(INDEX('GDP Deflator'!$D$6:$D$91,MATCH('IEPR Gas Prices Nominal'!$B198,'GDP Deflator'!$B$6:$B$91,0)))</f>
        <v>11.533092553031679</v>
      </c>
      <c r="L198" s="91">
        <f>'IEPR Gas Prices Real'!L200*(INDEX('GDP Deflator'!$D$6:$D$91,MATCH('IEPR Gas Prices Nominal'!$B198,'GDP Deflator'!$B$6:$B$91,0)))</f>
        <v>8.0922307114023067</v>
      </c>
      <c r="M198" s="91">
        <f>'IEPR Gas Prices Real'!M200*(INDEX('GDP Deflator'!$D$6:$D$91,MATCH('IEPR Gas Prices Nominal'!$B198,'GDP Deflator'!$B$6:$B$91,0)))</f>
        <v>1.7666593521762368</v>
      </c>
      <c r="N198" s="91">
        <f>'IEPR Gas Prices Real'!N200*(INDEX('GDP Deflator'!$D$6:$D$91,MATCH('IEPR Gas Prices Nominal'!$B198,'GDP Deflator'!$B$6:$B$91,0)))</f>
        <v>9.8588900635785439</v>
      </c>
      <c r="O198" s="19"/>
      <c r="P198" s="229">
        <f t="shared" ref="P198:P261" si="22">AVERAGE(F198,I198,L198)</f>
        <v>7.7695763240344142</v>
      </c>
      <c r="Q198" s="229">
        <f t="shared" si="21"/>
        <v>10.360603029035985</v>
      </c>
      <c r="R198" s="144"/>
    </row>
    <row r="199" spans="2:18">
      <c r="B199" s="142">
        <f t="shared" ref="B199:B262" si="23">YEAR(D199)</f>
        <v>2038</v>
      </c>
      <c r="C199" s="19">
        <f t="shared" ref="C199:C262" si="24">MONTH(D199)</f>
        <v>2</v>
      </c>
      <c r="D199" s="143">
        <v>50437</v>
      </c>
      <c r="E199" s="19" t="str">
        <f t="shared" ref="E199:E262" si="25">C199&amp;"-"&amp;B199</f>
        <v>2-2038</v>
      </c>
      <c r="F199" s="91">
        <f>'IEPR Gas Prices Real'!F201*(INDEX('GDP Deflator'!$D$6:$D$91,MATCH('IEPR Gas Prices Nominal'!$B199,'GDP Deflator'!$B$6:$B$91,0)))</f>
        <v>7.2616924711887254</v>
      </c>
      <c r="G199" s="91">
        <f>'IEPR Gas Prices Real'!G201*(INDEX('GDP Deflator'!$D$6:$D$91,MATCH('IEPR Gas Prices Nominal'!$B199,'GDP Deflator'!$B$6:$B$91,0)))</f>
        <v>2.2655122143547377</v>
      </c>
      <c r="H199" s="91">
        <f>'IEPR Gas Prices Real'!H201*(INDEX('GDP Deflator'!$D$6:$D$91,MATCH('IEPR Gas Prices Nominal'!$B199,'GDP Deflator'!$B$6:$B$91,0)))</f>
        <v>9.5272046855434631</v>
      </c>
      <c r="I199" s="91">
        <f>'IEPR Gas Prices Real'!I201*(INDEX('GDP Deflator'!$D$6:$D$91,MATCH('IEPR Gas Prices Nominal'!$B199,'GDP Deflator'!$B$6:$B$91,0)))</f>
        <v>7.6214334122474812</v>
      </c>
      <c r="J199" s="91">
        <f>'IEPR Gas Prices Real'!J201*(INDEX('GDP Deflator'!$D$6:$D$91,MATCH('IEPR Gas Prices Nominal'!$B199,'GDP Deflator'!$B$6:$B$91,0)))</f>
        <v>3.7409085484737385</v>
      </c>
      <c r="K199" s="91">
        <f>'IEPR Gas Prices Real'!K201*(INDEX('GDP Deflator'!$D$6:$D$91,MATCH('IEPR Gas Prices Nominal'!$B199,'GDP Deflator'!$B$6:$B$91,0)))</f>
        <v>11.362341960721221</v>
      </c>
      <c r="L199" s="91">
        <f>'IEPR Gas Prices Real'!L201*(INDEX('GDP Deflator'!$D$6:$D$91,MATCH('IEPR Gas Prices Nominal'!$B199,'GDP Deflator'!$B$6:$B$91,0)))</f>
        <v>7.9142061183105277</v>
      </c>
      <c r="M199" s="91">
        <f>'IEPR Gas Prices Real'!M201*(INDEX('GDP Deflator'!$D$6:$D$91,MATCH('IEPR Gas Prices Nominal'!$B199,'GDP Deflator'!$B$6:$B$91,0)))</f>
        <v>1.7666593521762368</v>
      </c>
      <c r="N199" s="91">
        <f>'IEPR Gas Prices Real'!N201*(INDEX('GDP Deflator'!$D$6:$D$91,MATCH('IEPR Gas Prices Nominal'!$B199,'GDP Deflator'!$B$6:$B$91,0)))</f>
        <v>9.6808654704867632</v>
      </c>
      <c r="O199" s="19"/>
      <c r="P199" s="229">
        <f t="shared" si="22"/>
        <v>7.5991106672489117</v>
      </c>
      <c r="Q199" s="229">
        <f t="shared" ref="Q199:Q262" si="26">AVERAGE(H199,K199,N199)</f>
        <v>10.190137372250483</v>
      </c>
      <c r="R199" s="144"/>
    </row>
    <row r="200" spans="2:18">
      <c r="B200" s="142">
        <f t="shared" si="23"/>
        <v>2038</v>
      </c>
      <c r="C200" s="19">
        <f t="shared" si="24"/>
        <v>3</v>
      </c>
      <c r="D200" s="143">
        <v>50465</v>
      </c>
      <c r="E200" s="19" t="str">
        <f t="shared" si="25"/>
        <v>3-2038</v>
      </c>
      <c r="F200" s="91">
        <f>'IEPR Gas Prices Real'!F202*(INDEX('GDP Deflator'!$D$6:$D$91,MATCH('IEPR Gas Prices Nominal'!$B200,'GDP Deflator'!$B$6:$B$91,0)))</f>
        <v>6.6663963996839701</v>
      </c>
      <c r="G200" s="91">
        <f>'IEPR Gas Prices Real'!G202*(INDEX('GDP Deflator'!$D$6:$D$91,MATCH('IEPR Gas Prices Nominal'!$B200,'GDP Deflator'!$B$6:$B$91,0)))</f>
        <v>2.2655122143547377</v>
      </c>
      <c r="H200" s="91">
        <f>'IEPR Gas Prices Real'!H202*(INDEX('GDP Deflator'!$D$6:$D$91,MATCH('IEPR Gas Prices Nominal'!$B200,'GDP Deflator'!$B$6:$B$91,0)))</f>
        <v>8.9319086140387078</v>
      </c>
      <c r="I200" s="91">
        <f>'IEPR Gas Prices Real'!I202*(INDEX('GDP Deflator'!$D$6:$D$91,MATCH('IEPR Gas Prices Nominal'!$B200,'GDP Deflator'!$B$6:$B$91,0)))</f>
        <v>6.9965814547168508</v>
      </c>
      <c r="J200" s="91">
        <f>'IEPR Gas Prices Real'!J202*(INDEX('GDP Deflator'!$D$6:$D$91,MATCH('IEPR Gas Prices Nominal'!$B200,'GDP Deflator'!$B$6:$B$91,0)))</f>
        <v>3.7409085484737385</v>
      </c>
      <c r="K200" s="91">
        <f>'IEPR Gas Prices Real'!K202*(INDEX('GDP Deflator'!$D$6:$D$91,MATCH('IEPR Gas Prices Nominal'!$B200,'GDP Deflator'!$B$6:$B$91,0)))</f>
        <v>10.737490003190588</v>
      </c>
      <c r="L200" s="91">
        <f>'IEPR Gas Prices Real'!L202*(INDEX('GDP Deflator'!$D$6:$D$91,MATCH('IEPR Gas Prices Nominal'!$B200,'GDP Deflator'!$B$6:$B$91,0)))</f>
        <v>7.2647090707840016</v>
      </c>
      <c r="M200" s="91">
        <f>'IEPR Gas Prices Real'!M202*(INDEX('GDP Deflator'!$D$6:$D$91,MATCH('IEPR Gas Prices Nominal'!$B200,'GDP Deflator'!$B$6:$B$91,0)))</f>
        <v>1.7666593521762368</v>
      </c>
      <c r="N200" s="91">
        <f>'IEPR Gas Prices Real'!N202*(INDEX('GDP Deflator'!$D$6:$D$91,MATCH('IEPR Gas Prices Nominal'!$B200,'GDP Deflator'!$B$6:$B$91,0)))</f>
        <v>9.031368422960238</v>
      </c>
      <c r="O200" s="19"/>
      <c r="P200" s="229">
        <f t="shared" si="22"/>
        <v>6.9758956417282745</v>
      </c>
      <c r="Q200" s="229">
        <f t="shared" si="26"/>
        <v>9.5669223467298448</v>
      </c>
      <c r="R200" s="144"/>
    </row>
    <row r="201" spans="2:18">
      <c r="B201" s="142">
        <f t="shared" si="23"/>
        <v>2038</v>
      </c>
      <c r="C201" s="19">
        <f t="shared" si="24"/>
        <v>4</v>
      </c>
      <c r="D201" s="143">
        <v>50496</v>
      </c>
      <c r="E201" s="19" t="str">
        <f t="shared" si="25"/>
        <v>4-2038</v>
      </c>
      <c r="F201" s="91">
        <f>'IEPR Gas Prices Real'!F203*(INDEX('GDP Deflator'!$D$6:$D$91,MATCH('IEPR Gas Prices Nominal'!$B201,'GDP Deflator'!$B$6:$B$91,0)))</f>
        <v>6.5531055506663582</v>
      </c>
      <c r="G201" s="91">
        <f>'IEPR Gas Prices Real'!G203*(INDEX('GDP Deflator'!$D$6:$D$91,MATCH('IEPR Gas Prices Nominal'!$B201,'GDP Deflator'!$B$6:$B$91,0)))</f>
        <v>2.2655122143547377</v>
      </c>
      <c r="H201" s="91">
        <f>'IEPR Gas Prices Real'!H203*(INDEX('GDP Deflator'!$D$6:$D$91,MATCH('IEPR Gas Prices Nominal'!$B201,'GDP Deflator'!$B$6:$B$91,0)))</f>
        <v>8.8186177650210968</v>
      </c>
      <c r="I201" s="91">
        <f>'IEPR Gas Prices Real'!I203*(INDEX('GDP Deflator'!$D$6:$D$91,MATCH('IEPR Gas Prices Nominal'!$B201,'GDP Deflator'!$B$6:$B$91,0)))</f>
        <v>6.8776152522167768</v>
      </c>
      <c r="J201" s="91">
        <f>'IEPR Gas Prices Real'!J203*(INDEX('GDP Deflator'!$D$6:$D$91,MATCH('IEPR Gas Prices Nominal'!$B201,'GDP Deflator'!$B$6:$B$91,0)))</f>
        <v>3.7409085484737385</v>
      </c>
      <c r="K201" s="91">
        <f>'IEPR Gas Prices Real'!K203*(INDEX('GDP Deflator'!$D$6:$D$91,MATCH('IEPR Gas Prices Nominal'!$B201,'GDP Deflator'!$B$6:$B$91,0)))</f>
        <v>10.618523800690516</v>
      </c>
      <c r="L201" s="91">
        <f>'IEPR Gas Prices Real'!L203*(INDEX('GDP Deflator'!$D$6:$D$91,MATCH('IEPR Gas Prices Nominal'!$B201,'GDP Deflator'!$B$6:$B$91,0)))</f>
        <v>7.1405528583624047</v>
      </c>
      <c r="M201" s="91">
        <f>'IEPR Gas Prices Real'!M203*(INDEX('GDP Deflator'!$D$6:$D$91,MATCH('IEPR Gas Prices Nominal'!$B201,'GDP Deflator'!$B$6:$B$91,0)))</f>
        <v>1.7666593521762368</v>
      </c>
      <c r="N201" s="91">
        <f>'IEPR Gas Prices Real'!N203*(INDEX('GDP Deflator'!$D$6:$D$91,MATCH('IEPR Gas Prices Nominal'!$B201,'GDP Deflator'!$B$6:$B$91,0)))</f>
        <v>8.9072122105386402</v>
      </c>
      <c r="O201" s="19"/>
      <c r="P201" s="229">
        <f t="shared" si="22"/>
        <v>6.8570912204151808</v>
      </c>
      <c r="Q201" s="229">
        <f t="shared" si="26"/>
        <v>9.4481179254167511</v>
      </c>
      <c r="R201" s="144"/>
    </row>
    <row r="202" spans="2:18">
      <c r="B202" s="142">
        <f t="shared" si="23"/>
        <v>2038</v>
      </c>
      <c r="C202" s="19">
        <f t="shared" si="24"/>
        <v>5</v>
      </c>
      <c r="D202" s="143">
        <v>50526</v>
      </c>
      <c r="E202" s="19" t="str">
        <f t="shared" si="25"/>
        <v>5-2038</v>
      </c>
      <c r="F202" s="91">
        <f>'IEPR Gas Prices Real'!F204*(INDEX('GDP Deflator'!$D$6:$D$91,MATCH('IEPR Gas Prices Nominal'!$B202,'GDP Deflator'!$B$6:$B$91,0)))</f>
        <v>6.7813187691114649</v>
      </c>
      <c r="G202" s="91">
        <f>'IEPR Gas Prices Real'!G204*(INDEX('GDP Deflator'!$D$6:$D$91,MATCH('IEPR Gas Prices Nominal'!$B202,'GDP Deflator'!$B$6:$B$91,0)))</f>
        <v>2.2655122143547377</v>
      </c>
      <c r="H202" s="91">
        <f>'IEPR Gas Prices Real'!H204*(INDEX('GDP Deflator'!$D$6:$D$91,MATCH('IEPR Gas Prices Nominal'!$B202,'GDP Deflator'!$B$6:$B$91,0)))</f>
        <v>9.0468309834662026</v>
      </c>
      <c r="I202" s="91">
        <f>'IEPR Gas Prices Real'!I204*(INDEX('GDP Deflator'!$D$6:$D$91,MATCH('IEPR Gas Prices Nominal'!$B202,'GDP Deflator'!$B$6:$B$91,0)))</f>
        <v>7.1170632676386631</v>
      </c>
      <c r="J202" s="91">
        <f>'IEPR Gas Prices Real'!J204*(INDEX('GDP Deflator'!$D$6:$D$91,MATCH('IEPR Gas Prices Nominal'!$B202,'GDP Deflator'!$B$6:$B$91,0)))</f>
        <v>3.7409085484737385</v>
      </c>
      <c r="K202" s="91">
        <f>'IEPR Gas Prices Real'!K204*(INDEX('GDP Deflator'!$D$6:$D$91,MATCH('IEPR Gas Prices Nominal'!$B202,'GDP Deflator'!$B$6:$B$91,0)))</f>
        <v>10.857971816112402</v>
      </c>
      <c r="L202" s="91">
        <f>'IEPR Gas Prices Real'!L204*(INDEX('GDP Deflator'!$D$6:$D$91,MATCH('IEPR Gas Prices Nominal'!$B202,'GDP Deflator'!$B$6:$B$91,0)))</f>
        <v>7.3885022810024461</v>
      </c>
      <c r="M202" s="91">
        <f>'IEPR Gas Prices Real'!M204*(INDEX('GDP Deflator'!$D$6:$D$91,MATCH('IEPR Gas Prices Nominal'!$B202,'GDP Deflator'!$B$6:$B$91,0)))</f>
        <v>1.7666593521762368</v>
      </c>
      <c r="N202" s="91">
        <f>'IEPR Gas Prices Real'!N204*(INDEX('GDP Deflator'!$D$6:$D$91,MATCH('IEPR Gas Prices Nominal'!$B202,'GDP Deflator'!$B$6:$B$91,0)))</f>
        <v>9.1551616331786843</v>
      </c>
      <c r="O202" s="19"/>
      <c r="P202" s="229">
        <f t="shared" si="22"/>
        <v>7.0956281059175241</v>
      </c>
      <c r="Q202" s="229">
        <f t="shared" si="26"/>
        <v>9.6866548109190962</v>
      </c>
      <c r="R202" s="144"/>
    </row>
    <row r="203" spans="2:18">
      <c r="B203" s="142">
        <f t="shared" si="23"/>
        <v>2038</v>
      </c>
      <c r="C203" s="19">
        <f t="shared" si="24"/>
        <v>6</v>
      </c>
      <c r="D203" s="143">
        <v>50557</v>
      </c>
      <c r="E203" s="19" t="str">
        <f t="shared" si="25"/>
        <v>6-2038</v>
      </c>
      <c r="F203" s="91">
        <f>'IEPR Gas Prices Real'!F205*(INDEX('GDP Deflator'!$D$6:$D$91,MATCH('IEPR Gas Prices Nominal'!$B203,'GDP Deflator'!$B$6:$B$91,0)))</f>
        <v>6.956780368393253</v>
      </c>
      <c r="G203" s="91">
        <f>'IEPR Gas Prices Real'!G205*(INDEX('GDP Deflator'!$D$6:$D$91,MATCH('IEPR Gas Prices Nominal'!$B203,'GDP Deflator'!$B$6:$B$91,0)))</f>
        <v>2.2655122143547377</v>
      </c>
      <c r="H203" s="91">
        <f>'IEPR Gas Prices Real'!H205*(INDEX('GDP Deflator'!$D$6:$D$91,MATCH('IEPR Gas Prices Nominal'!$B203,'GDP Deflator'!$B$6:$B$91,0)))</f>
        <v>9.2222925827479916</v>
      </c>
      <c r="I203" s="91">
        <f>'IEPR Gas Prices Real'!I205*(INDEX('GDP Deflator'!$D$6:$D$91,MATCH('IEPR Gas Prices Nominal'!$B203,'GDP Deflator'!$B$6:$B$91,0)))</f>
        <v>7.3011439697782556</v>
      </c>
      <c r="J203" s="91">
        <f>'IEPR Gas Prices Real'!J205*(INDEX('GDP Deflator'!$D$6:$D$91,MATCH('IEPR Gas Prices Nominal'!$B203,'GDP Deflator'!$B$6:$B$91,0)))</f>
        <v>3.7409085484737385</v>
      </c>
      <c r="K203" s="91">
        <f>'IEPR Gas Prices Real'!K205*(INDEX('GDP Deflator'!$D$6:$D$91,MATCH('IEPR Gas Prices Nominal'!$B203,'GDP Deflator'!$B$6:$B$91,0)))</f>
        <v>11.042052518251994</v>
      </c>
      <c r="L203" s="91">
        <f>'IEPR Gas Prices Real'!L205*(INDEX('GDP Deflator'!$D$6:$D$91,MATCH('IEPR Gas Prices Nominal'!$B203,'GDP Deflator'!$B$6:$B$91,0)))</f>
        <v>7.5789338324880822</v>
      </c>
      <c r="M203" s="91">
        <f>'IEPR Gas Prices Real'!M205*(INDEX('GDP Deflator'!$D$6:$D$91,MATCH('IEPR Gas Prices Nominal'!$B203,'GDP Deflator'!$B$6:$B$91,0)))</f>
        <v>1.7666593521762368</v>
      </c>
      <c r="N203" s="91">
        <f>'IEPR Gas Prices Real'!N205*(INDEX('GDP Deflator'!$D$6:$D$91,MATCH('IEPR Gas Prices Nominal'!$B203,'GDP Deflator'!$B$6:$B$91,0)))</f>
        <v>9.3455931846643185</v>
      </c>
      <c r="O203" s="19"/>
      <c r="P203" s="229">
        <f t="shared" si="22"/>
        <v>7.2789527235531972</v>
      </c>
      <c r="Q203" s="229">
        <f t="shared" si="26"/>
        <v>9.8699794285547693</v>
      </c>
      <c r="R203" s="144"/>
    </row>
    <row r="204" spans="2:18">
      <c r="B204" s="142">
        <f t="shared" si="23"/>
        <v>2038</v>
      </c>
      <c r="C204" s="19">
        <f t="shared" si="24"/>
        <v>7</v>
      </c>
      <c r="D204" s="143">
        <v>50587</v>
      </c>
      <c r="E204" s="19" t="str">
        <f t="shared" si="25"/>
        <v>7-2038</v>
      </c>
      <c r="F204" s="91">
        <f>'IEPR Gas Prices Real'!F206*(INDEX('GDP Deflator'!$D$6:$D$91,MATCH('IEPR Gas Prices Nominal'!$B204,'GDP Deflator'!$B$6:$B$91,0)))</f>
        <v>7.0121236198013515</v>
      </c>
      <c r="G204" s="91">
        <f>'IEPR Gas Prices Real'!G206*(INDEX('GDP Deflator'!$D$6:$D$91,MATCH('IEPR Gas Prices Nominal'!$B204,'GDP Deflator'!$B$6:$B$91,0)))</f>
        <v>2.2655122143547377</v>
      </c>
      <c r="H204" s="91">
        <f>'IEPR Gas Prices Real'!H206*(INDEX('GDP Deflator'!$D$6:$D$91,MATCH('IEPR Gas Prices Nominal'!$B204,'GDP Deflator'!$B$6:$B$91,0)))</f>
        <v>9.2776358341560883</v>
      </c>
      <c r="I204" s="91">
        <f>'IEPR Gas Prices Real'!I206*(INDEX('GDP Deflator'!$D$6:$D$91,MATCH('IEPR Gas Prices Nominal'!$B204,'GDP Deflator'!$B$6:$B$91,0)))</f>
        <v>7.3591581544616567</v>
      </c>
      <c r="J204" s="91">
        <f>'IEPR Gas Prices Real'!J206*(INDEX('GDP Deflator'!$D$6:$D$91,MATCH('IEPR Gas Prices Nominal'!$B204,'GDP Deflator'!$B$6:$B$91,0)))</f>
        <v>3.7409085484737385</v>
      </c>
      <c r="K204" s="91">
        <f>'IEPR Gas Prices Real'!K206*(INDEX('GDP Deflator'!$D$6:$D$91,MATCH('IEPR Gas Prices Nominal'!$B204,'GDP Deflator'!$B$6:$B$91,0)))</f>
        <v>11.100066702935395</v>
      </c>
      <c r="L204" s="91">
        <f>'IEPR Gas Prices Real'!L206*(INDEX('GDP Deflator'!$D$6:$D$91,MATCH('IEPR Gas Prices Nominal'!$B204,'GDP Deflator'!$B$6:$B$91,0)))</f>
        <v>7.6384801072478741</v>
      </c>
      <c r="M204" s="91">
        <f>'IEPR Gas Prices Real'!M206*(INDEX('GDP Deflator'!$D$6:$D$91,MATCH('IEPR Gas Prices Nominal'!$B204,'GDP Deflator'!$B$6:$B$91,0)))</f>
        <v>1.7666593521762368</v>
      </c>
      <c r="N204" s="91">
        <f>'IEPR Gas Prices Real'!N206*(INDEX('GDP Deflator'!$D$6:$D$91,MATCH('IEPR Gas Prices Nominal'!$B204,'GDP Deflator'!$B$6:$B$91,0)))</f>
        <v>9.4051394594241096</v>
      </c>
      <c r="O204" s="19"/>
      <c r="P204" s="229">
        <f t="shared" si="22"/>
        <v>7.3365872938369607</v>
      </c>
      <c r="Q204" s="229">
        <f t="shared" si="26"/>
        <v>9.927613998838531</v>
      </c>
      <c r="R204" s="144"/>
    </row>
    <row r="205" spans="2:18">
      <c r="B205" s="142">
        <f t="shared" si="23"/>
        <v>2038</v>
      </c>
      <c r="C205" s="19">
        <f t="shared" si="24"/>
        <v>8</v>
      </c>
      <c r="D205" s="143">
        <v>50618</v>
      </c>
      <c r="E205" s="19" t="str">
        <f t="shared" si="25"/>
        <v>8-2038</v>
      </c>
      <c r="F205" s="91">
        <f>'IEPR Gas Prices Real'!F207*(INDEX('GDP Deflator'!$D$6:$D$91,MATCH('IEPR Gas Prices Nominal'!$B205,'GDP Deflator'!$B$6:$B$91,0)))</f>
        <v>6.9581123802415972</v>
      </c>
      <c r="G205" s="91">
        <f>'IEPR Gas Prices Real'!G207*(INDEX('GDP Deflator'!$D$6:$D$91,MATCH('IEPR Gas Prices Nominal'!$B205,'GDP Deflator'!$B$6:$B$91,0)))</f>
        <v>2.2655122143547377</v>
      </c>
      <c r="H205" s="91">
        <f>'IEPR Gas Prices Real'!H207*(INDEX('GDP Deflator'!$D$6:$D$91,MATCH('IEPR Gas Prices Nominal'!$B205,'GDP Deflator'!$B$6:$B$91,0)))</f>
        <v>9.223624594596334</v>
      </c>
      <c r="I205" s="91">
        <f>'IEPR Gas Prices Real'!I207*(INDEX('GDP Deflator'!$D$6:$D$91,MATCH('IEPR Gas Prices Nominal'!$B205,'GDP Deflator'!$B$6:$B$91,0)))</f>
        <v>7.30240580790639</v>
      </c>
      <c r="J205" s="91">
        <f>'IEPR Gas Prices Real'!J207*(INDEX('GDP Deflator'!$D$6:$D$91,MATCH('IEPR Gas Prices Nominal'!$B205,'GDP Deflator'!$B$6:$B$91,0)))</f>
        <v>3.7409085484737385</v>
      </c>
      <c r="K205" s="91">
        <f>'IEPR Gas Prices Real'!K207*(INDEX('GDP Deflator'!$D$6:$D$91,MATCH('IEPR Gas Prices Nominal'!$B205,'GDP Deflator'!$B$6:$B$91,0)))</f>
        <v>11.043314356380128</v>
      </c>
      <c r="L205" s="91">
        <f>'IEPR Gas Prices Real'!L207*(INDEX('GDP Deflator'!$D$6:$D$91,MATCH('IEPR Gas Prices Nominal'!$B205,'GDP Deflator'!$B$6:$B$91,0)))</f>
        <v>7.5789036522755202</v>
      </c>
      <c r="M205" s="91">
        <f>'IEPR Gas Prices Real'!M207*(INDEX('GDP Deflator'!$D$6:$D$91,MATCH('IEPR Gas Prices Nominal'!$B205,'GDP Deflator'!$B$6:$B$91,0)))</f>
        <v>1.7666593521762368</v>
      </c>
      <c r="N205" s="91">
        <f>'IEPR Gas Prices Real'!N207*(INDEX('GDP Deflator'!$D$6:$D$91,MATCH('IEPR Gas Prices Nominal'!$B205,'GDP Deflator'!$B$6:$B$91,0)))</f>
        <v>9.3455630044517566</v>
      </c>
      <c r="O205" s="19"/>
      <c r="P205" s="229">
        <f t="shared" si="22"/>
        <v>7.2798072801411697</v>
      </c>
      <c r="Q205" s="229">
        <f t="shared" si="26"/>
        <v>9.8708339851427382</v>
      </c>
      <c r="R205" s="144"/>
    </row>
    <row r="206" spans="2:18">
      <c r="B206" s="142">
        <f t="shared" si="23"/>
        <v>2038</v>
      </c>
      <c r="C206" s="19">
        <f t="shared" si="24"/>
        <v>9</v>
      </c>
      <c r="D206" s="143">
        <v>50649</v>
      </c>
      <c r="E206" s="19" t="str">
        <f t="shared" si="25"/>
        <v>9-2038</v>
      </c>
      <c r="F206" s="91">
        <f>'IEPR Gas Prices Real'!F208*(INDEX('GDP Deflator'!$D$6:$D$91,MATCH('IEPR Gas Prices Nominal'!$B206,'GDP Deflator'!$B$6:$B$91,0)))</f>
        <v>7.0561375195556009</v>
      </c>
      <c r="G206" s="91">
        <f>'IEPR Gas Prices Real'!G208*(INDEX('GDP Deflator'!$D$6:$D$91,MATCH('IEPR Gas Prices Nominal'!$B206,'GDP Deflator'!$B$6:$B$91,0)))</f>
        <v>2.2655122143547377</v>
      </c>
      <c r="H206" s="91">
        <f>'IEPR Gas Prices Real'!H208*(INDEX('GDP Deflator'!$D$6:$D$91,MATCH('IEPR Gas Prices Nominal'!$B206,'GDP Deflator'!$B$6:$B$91,0)))</f>
        <v>9.3216497339103377</v>
      </c>
      <c r="I206" s="91">
        <f>'IEPR Gas Prices Real'!I208*(INDEX('GDP Deflator'!$D$6:$D$91,MATCH('IEPR Gas Prices Nominal'!$B206,'GDP Deflator'!$B$6:$B$91,0)))</f>
        <v>7.4052122986808175</v>
      </c>
      <c r="J206" s="91">
        <f>'IEPR Gas Prices Real'!J208*(INDEX('GDP Deflator'!$D$6:$D$91,MATCH('IEPR Gas Prices Nominal'!$B206,'GDP Deflator'!$B$6:$B$91,0)))</f>
        <v>3.7409085484737385</v>
      </c>
      <c r="K206" s="91">
        <f>'IEPR Gas Prices Real'!K208*(INDEX('GDP Deflator'!$D$6:$D$91,MATCH('IEPR Gas Prices Nominal'!$B206,'GDP Deflator'!$B$6:$B$91,0)))</f>
        <v>11.146120847154556</v>
      </c>
      <c r="L206" s="91">
        <f>'IEPR Gas Prices Real'!L208*(INDEX('GDP Deflator'!$D$6:$D$91,MATCH('IEPR Gas Prices Nominal'!$B206,'GDP Deflator'!$B$6:$B$91,0)))</f>
        <v>7.6849232949562998</v>
      </c>
      <c r="M206" s="91">
        <f>'IEPR Gas Prices Real'!M208*(INDEX('GDP Deflator'!$D$6:$D$91,MATCH('IEPR Gas Prices Nominal'!$B206,'GDP Deflator'!$B$6:$B$91,0)))</f>
        <v>1.7666593521762368</v>
      </c>
      <c r="N206" s="91">
        <f>'IEPR Gas Prices Real'!N208*(INDEX('GDP Deflator'!$D$6:$D$91,MATCH('IEPR Gas Prices Nominal'!$B206,'GDP Deflator'!$B$6:$B$91,0)))</f>
        <v>9.4515826471325379</v>
      </c>
      <c r="O206" s="19"/>
      <c r="P206" s="229">
        <f t="shared" si="22"/>
        <v>7.3820910377309055</v>
      </c>
      <c r="Q206" s="229">
        <f t="shared" si="26"/>
        <v>9.9731177427324766</v>
      </c>
      <c r="R206" s="144"/>
    </row>
    <row r="207" spans="2:18">
      <c r="B207" s="142">
        <f t="shared" si="23"/>
        <v>2038</v>
      </c>
      <c r="C207" s="19">
        <f t="shared" si="24"/>
        <v>10</v>
      </c>
      <c r="D207" s="143">
        <v>50679</v>
      </c>
      <c r="E207" s="19" t="str">
        <f t="shared" si="25"/>
        <v>10-2038</v>
      </c>
      <c r="F207" s="91">
        <f>'IEPR Gas Prices Real'!F209*(INDEX('GDP Deflator'!$D$6:$D$91,MATCH('IEPR Gas Prices Nominal'!$B207,'GDP Deflator'!$B$6:$B$91,0)))</f>
        <v>7.0156288200245518</v>
      </c>
      <c r="G207" s="91">
        <f>'IEPR Gas Prices Real'!G209*(INDEX('GDP Deflator'!$D$6:$D$91,MATCH('IEPR Gas Prices Nominal'!$B207,'GDP Deflator'!$B$6:$B$91,0)))</f>
        <v>2.2655122143547377</v>
      </c>
      <c r="H207" s="91">
        <f>'IEPR Gas Prices Real'!H209*(INDEX('GDP Deflator'!$D$6:$D$91,MATCH('IEPR Gas Prices Nominal'!$B207,'GDP Deflator'!$B$6:$B$91,0)))</f>
        <v>9.2811410343792904</v>
      </c>
      <c r="I207" s="91">
        <f>'IEPR Gas Prices Real'!I209*(INDEX('GDP Deflator'!$D$6:$D$91,MATCH('IEPR Gas Prices Nominal'!$B207,'GDP Deflator'!$B$6:$B$91,0)))</f>
        <v>7.3626309659545166</v>
      </c>
      <c r="J207" s="91">
        <f>'IEPR Gas Prices Real'!J209*(INDEX('GDP Deflator'!$D$6:$D$91,MATCH('IEPR Gas Prices Nominal'!$B207,'GDP Deflator'!$B$6:$B$91,0)))</f>
        <v>3.7409085484737385</v>
      </c>
      <c r="K207" s="91">
        <f>'IEPR Gas Prices Real'!K209*(INDEX('GDP Deflator'!$D$6:$D$91,MATCH('IEPR Gas Prices Nominal'!$B207,'GDP Deflator'!$B$6:$B$91,0)))</f>
        <v>11.103539514428254</v>
      </c>
      <c r="L207" s="91">
        <f>'IEPR Gas Prices Real'!L209*(INDEX('GDP Deflator'!$D$6:$D$91,MATCH('IEPR Gas Prices Nominal'!$B207,'GDP Deflator'!$B$6:$B$91,0)))</f>
        <v>7.6400579333613088</v>
      </c>
      <c r="M207" s="91">
        <f>'IEPR Gas Prices Real'!M209*(INDEX('GDP Deflator'!$D$6:$D$91,MATCH('IEPR Gas Prices Nominal'!$B207,'GDP Deflator'!$B$6:$B$91,0)))</f>
        <v>1.7666593521762368</v>
      </c>
      <c r="N207" s="91">
        <f>'IEPR Gas Prices Real'!N209*(INDEX('GDP Deflator'!$D$6:$D$91,MATCH('IEPR Gas Prices Nominal'!$B207,'GDP Deflator'!$B$6:$B$91,0)))</f>
        <v>9.406717285537546</v>
      </c>
      <c r="O207" s="19"/>
      <c r="P207" s="229">
        <f t="shared" si="22"/>
        <v>7.339439239780126</v>
      </c>
      <c r="Q207" s="229">
        <f t="shared" si="26"/>
        <v>9.9304659447816963</v>
      </c>
      <c r="R207" s="144"/>
    </row>
    <row r="208" spans="2:18">
      <c r="B208" s="142">
        <f t="shared" si="23"/>
        <v>2038</v>
      </c>
      <c r="C208" s="19">
        <f t="shared" si="24"/>
        <v>11</v>
      </c>
      <c r="D208" s="143">
        <v>50710</v>
      </c>
      <c r="E208" s="19" t="str">
        <f t="shared" si="25"/>
        <v>11-2038</v>
      </c>
      <c r="F208" s="91">
        <f>'IEPR Gas Prices Real'!F210*(INDEX('GDP Deflator'!$D$6:$D$91,MATCH('IEPR Gas Prices Nominal'!$B208,'GDP Deflator'!$B$6:$B$91,0)))</f>
        <v>7.3625490911052571</v>
      </c>
      <c r="G208" s="91">
        <f>'IEPR Gas Prices Real'!G210*(INDEX('GDP Deflator'!$D$6:$D$91,MATCH('IEPR Gas Prices Nominal'!$B208,'GDP Deflator'!$B$6:$B$91,0)))</f>
        <v>2.2655122143547377</v>
      </c>
      <c r="H208" s="91">
        <f>'IEPR Gas Prices Real'!H210*(INDEX('GDP Deflator'!$D$6:$D$91,MATCH('IEPR Gas Prices Nominal'!$B208,'GDP Deflator'!$B$6:$B$91,0)))</f>
        <v>9.6280613054599957</v>
      </c>
      <c r="I208" s="91">
        <f>'IEPR Gas Prices Real'!I210*(INDEX('GDP Deflator'!$D$6:$D$91,MATCH('IEPR Gas Prices Nominal'!$B208,'GDP Deflator'!$B$6:$B$91,0)))</f>
        <v>7.7266383456379542</v>
      </c>
      <c r="J208" s="91">
        <f>'IEPR Gas Prices Real'!J210*(INDEX('GDP Deflator'!$D$6:$D$91,MATCH('IEPR Gas Prices Nominal'!$B208,'GDP Deflator'!$B$6:$B$91,0)))</f>
        <v>3.7409085484737385</v>
      </c>
      <c r="K208" s="91">
        <f>'IEPR Gas Prices Real'!K210*(INDEX('GDP Deflator'!$D$6:$D$91,MATCH('IEPR Gas Prices Nominal'!$B208,'GDP Deflator'!$B$6:$B$91,0)))</f>
        <v>11.467546894111694</v>
      </c>
      <c r="L208" s="91">
        <f>'IEPR Gas Prices Real'!L210*(INDEX('GDP Deflator'!$D$6:$D$91,MATCH('IEPR Gas Prices Nominal'!$B208,'GDP Deflator'!$B$6:$B$91,0)))</f>
        <v>8.0170721766333184</v>
      </c>
      <c r="M208" s="91">
        <f>'IEPR Gas Prices Real'!M210*(INDEX('GDP Deflator'!$D$6:$D$91,MATCH('IEPR Gas Prices Nominal'!$B208,'GDP Deflator'!$B$6:$B$91,0)))</f>
        <v>1.7666593521762368</v>
      </c>
      <c r="N208" s="91">
        <f>'IEPR Gas Prices Real'!N210*(INDEX('GDP Deflator'!$D$6:$D$91,MATCH('IEPR Gas Prices Nominal'!$B208,'GDP Deflator'!$B$6:$B$91,0)))</f>
        <v>9.7837315288095539</v>
      </c>
      <c r="O208" s="19"/>
      <c r="P208" s="229">
        <f t="shared" si="22"/>
        <v>7.7020865377921766</v>
      </c>
      <c r="Q208" s="229">
        <f t="shared" si="26"/>
        <v>10.293113242793748</v>
      </c>
      <c r="R208" s="144"/>
    </row>
    <row r="209" spans="2:18">
      <c r="B209" s="142">
        <f t="shared" si="23"/>
        <v>2038</v>
      </c>
      <c r="C209" s="19">
        <f t="shared" si="24"/>
        <v>12</v>
      </c>
      <c r="D209" s="143">
        <v>50740</v>
      </c>
      <c r="E209" s="19" t="str">
        <f t="shared" si="25"/>
        <v>12-2038</v>
      </c>
      <c r="F209" s="91">
        <f>'IEPR Gas Prices Real'!F211*(INDEX('GDP Deflator'!$D$6:$D$91,MATCH('IEPR Gas Prices Nominal'!$B209,'GDP Deflator'!$B$6:$B$91,0)))</f>
        <v>7.4219307450809922</v>
      </c>
      <c r="G209" s="91">
        <f>'IEPR Gas Prices Real'!G211*(INDEX('GDP Deflator'!$D$6:$D$91,MATCH('IEPR Gas Prices Nominal'!$B209,'GDP Deflator'!$B$6:$B$91,0)))</f>
        <v>2.2655122143547377</v>
      </c>
      <c r="H209" s="91">
        <f>'IEPR Gas Prices Real'!H211*(INDEX('GDP Deflator'!$D$6:$D$91,MATCH('IEPR Gas Prices Nominal'!$B209,'GDP Deflator'!$B$6:$B$91,0)))</f>
        <v>9.6874429594357299</v>
      </c>
      <c r="I209" s="91">
        <f>'IEPR Gas Prices Real'!I211*(INDEX('GDP Deflator'!$D$6:$D$91,MATCH('IEPR Gas Prices Nominal'!$B209,'GDP Deflator'!$B$6:$B$91,0)))</f>
        <v>7.7888839087670547</v>
      </c>
      <c r="J209" s="91">
        <f>'IEPR Gas Prices Real'!J211*(INDEX('GDP Deflator'!$D$6:$D$91,MATCH('IEPR Gas Prices Nominal'!$B209,'GDP Deflator'!$B$6:$B$91,0)))</f>
        <v>3.7409085484737385</v>
      </c>
      <c r="K209" s="91">
        <f>'IEPR Gas Prices Real'!K211*(INDEX('GDP Deflator'!$D$6:$D$91,MATCH('IEPR Gas Prices Nominal'!$B209,'GDP Deflator'!$B$6:$B$91,0)))</f>
        <v>11.529792457240793</v>
      </c>
      <c r="L209" s="91">
        <f>'IEPR Gas Prices Real'!L211*(INDEX('GDP Deflator'!$D$6:$D$91,MATCH('IEPR Gas Prices Nominal'!$B209,'GDP Deflator'!$B$6:$B$91,0)))</f>
        <v>8.0809426270309821</v>
      </c>
      <c r="M209" s="91">
        <f>'IEPR Gas Prices Real'!M211*(INDEX('GDP Deflator'!$D$6:$D$91,MATCH('IEPR Gas Prices Nominal'!$B209,'GDP Deflator'!$B$6:$B$91,0)))</f>
        <v>1.7666593521762368</v>
      </c>
      <c r="N209" s="91">
        <f>'IEPR Gas Prices Real'!N211*(INDEX('GDP Deflator'!$D$6:$D$91,MATCH('IEPR Gas Prices Nominal'!$B209,'GDP Deflator'!$B$6:$B$91,0)))</f>
        <v>9.8476019792072176</v>
      </c>
      <c r="O209" s="19"/>
      <c r="P209" s="229">
        <f t="shared" si="22"/>
        <v>7.7639190936263427</v>
      </c>
      <c r="Q209" s="229">
        <f t="shared" si="26"/>
        <v>10.354945798627915</v>
      </c>
      <c r="R209" s="144"/>
    </row>
    <row r="210" spans="2:18">
      <c r="B210" s="142">
        <f t="shared" si="23"/>
        <v>2039</v>
      </c>
      <c r="C210" s="19">
        <f t="shared" si="24"/>
        <v>1</v>
      </c>
      <c r="D210" s="143">
        <v>50771</v>
      </c>
      <c r="E210" s="19" t="str">
        <f t="shared" si="25"/>
        <v>1-2039</v>
      </c>
      <c r="F210" s="91">
        <f>'IEPR Gas Prices Real'!F212*(INDEX('GDP Deflator'!$D$6:$D$91,MATCH('IEPR Gas Prices Nominal'!$B210,'GDP Deflator'!$B$6:$B$91,0)))</f>
        <v>7.590361406192021</v>
      </c>
      <c r="G210" s="91">
        <f>'IEPR Gas Prices Real'!G212*(INDEX('GDP Deflator'!$D$6:$D$91,MATCH('IEPR Gas Prices Nominal'!$B210,'GDP Deflator'!$B$6:$B$91,0)))</f>
        <v>2.4094096668025196</v>
      </c>
      <c r="H210" s="91">
        <f>'IEPR Gas Prices Real'!H212*(INDEX('GDP Deflator'!$D$6:$D$91,MATCH('IEPR Gas Prices Nominal'!$B210,'GDP Deflator'!$B$6:$B$91,0)))</f>
        <v>9.999771072994541</v>
      </c>
      <c r="I210" s="91">
        <f>'IEPR Gas Prices Real'!I212*(INDEX('GDP Deflator'!$D$6:$D$91,MATCH('IEPR Gas Prices Nominal'!$B210,'GDP Deflator'!$B$6:$B$91,0)))</f>
        <v>7.9655628244912018</v>
      </c>
      <c r="J210" s="91">
        <f>'IEPR Gas Prices Real'!J212*(INDEX('GDP Deflator'!$D$6:$D$91,MATCH('IEPR Gas Prices Nominal'!$B210,'GDP Deflator'!$B$6:$B$91,0)))</f>
        <v>3.9785180420596369</v>
      </c>
      <c r="K210" s="91">
        <f>'IEPR Gas Prices Real'!K212*(INDEX('GDP Deflator'!$D$6:$D$91,MATCH('IEPR Gas Prices Nominal'!$B210,'GDP Deflator'!$B$6:$B$91,0)))</f>
        <v>11.94408086655084</v>
      </c>
      <c r="L210" s="91">
        <f>'IEPR Gas Prices Real'!L212*(INDEX('GDP Deflator'!$D$6:$D$91,MATCH('IEPR Gas Prices Nominal'!$B210,'GDP Deflator'!$B$6:$B$91,0)))</f>
        <v>8.2636587654660598</v>
      </c>
      <c r="M210" s="91">
        <f>'IEPR Gas Prices Real'!M212*(INDEX('GDP Deflator'!$D$6:$D$91,MATCH('IEPR Gas Prices Nominal'!$B210,'GDP Deflator'!$B$6:$B$91,0)))</f>
        <v>1.8788714066999044</v>
      </c>
      <c r="N210" s="91">
        <f>'IEPR Gas Prices Real'!N212*(INDEX('GDP Deflator'!$D$6:$D$91,MATCH('IEPR Gas Prices Nominal'!$B210,'GDP Deflator'!$B$6:$B$91,0)))</f>
        <v>10.142530172165966</v>
      </c>
      <c r="O210" s="19"/>
      <c r="P210" s="229">
        <f t="shared" si="22"/>
        <v>7.9398609987164273</v>
      </c>
      <c r="Q210" s="229">
        <f t="shared" si="26"/>
        <v>10.695460703903782</v>
      </c>
      <c r="R210" s="144"/>
    </row>
    <row r="211" spans="2:18">
      <c r="B211" s="142">
        <f t="shared" si="23"/>
        <v>2039</v>
      </c>
      <c r="C211" s="19">
        <f t="shared" si="24"/>
        <v>2</v>
      </c>
      <c r="D211" s="143">
        <v>50802</v>
      </c>
      <c r="E211" s="19" t="str">
        <f t="shared" si="25"/>
        <v>2-2039</v>
      </c>
      <c r="F211" s="91">
        <f>'IEPR Gas Prices Real'!F213*(INDEX('GDP Deflator'!$D$6:$D$91,MATCH('IEPR Gas Prices Nominal'!$B211,'GDP Deflator'!$B$6:$B$91,0)))</f>
        <v>7.4241011870088807</v>
      </c>
      <c r="G211" s="91">
        <f>'IEPR Gas Prices Real'!G213*(INDEX('GDP Deflator'!$D$6:$D$91,MATCH('IEPR Gas Prices Nominal'!$B211,'GDP Deflator'!$B$6:$B$91,0)))</f>
        <v>2.4094096668025196</v>
      </c>
      <c r="H211" s="91">
        <f>'IEPR Gas Prices Real'!H213*(INDEX('GDP Deflator'!$D$6:$D$91,MATCH('IEPR Gas Prices Nominal'!$B211,'GDP Deflator'!$B$6:$B$91,0)))</f>
        <v>9.8335108538114007</v>
      </c>
      <c r="I211" s="91">
        <f>'IEPR Gas Prices Real'!I213*(INDEX('GDP Deflator'!$D$6:$D$91,MATCH('IEPR Gas Prices Nominal'!$B211,'GDP Deflator'!$B$6:$B$91,0)))</f>
        <v>7.7910066294002531</v>
      </c>
      <c r="J211" s="91">
        <f>'IEPR Gas Prices Real'!J213*(INDEX('GDP Deflator'!$D$6:$D$91,MATCH('IEPR Gas Prices Nominal'!$B211,'GDP Deflator'!$B$6:$B$91,0)))</f>
        <v>3.9785180420596369</v>
      </c>
      <c r="K211" s="91">
        <f>'IEPR Gas Prices Real'!K213*(INDEX('GDP Deflator'!$D$6:$D$91,MATCH('IEPR Gas Prices Nominal'!$B211,'GDP Deflator'!$B$6:$B$91,0)))</f>
        <v>11.769524671459891</v>
      </c>
      <c r="L211" s="91">
        <f>'IEPR Gas Prices Real'!L213*(INDEX('GDP Deflator'!$D$6:$D$91,MATCH('IEPR Gas Prices Nominal'!$B211,'GDP Deflator'!$B$6:$B$91,0)))</f>
        <v>8.0819953000466516</v>
      </c>
      <c r="M211" s="91">
        <f>'IEPR Gas Prices Real'!M213*(INDEX('GDP Deflator'!$D$6:$D$91,MATCH('IEPR Gas Prices Nominal'!$B211,'GDP Deflator'!$B$6:$B$91,0)))</f>
        <v>1.8788714066999044</v>
      </c>
      <c r="N211" s="91">
        <f>'IEPR Gas Prices Real'!N213*(INDEX('GDP Deflator'!$D$6:$D$91,MATCH('IEPR Gas Prices Nominal'!$B211,'GDP Deflator'!$B$6:$B$91,0)))</f>
        <v>9.9608667067465557</v>
      </c>
      <c r="O211" s="19"/>
      <c r="P211" s="229">
        <f t="shared" si="22"/>
        <v>7.7657010388185954</v>
      </c>
      <c r="Q211" s="229">
        <f t="shared" si="26"/>
        <v>10.521300744005949</v>
      </c>
      <c r="R211" s="144"/>
    </row>
    <row r="212" spans="2:18">
      <c r="B212" s="142">
        <f t="shared" si="23"/>
        <v>2039</v>
      </c>
      <c r="C212" s="19">
        <f t="shared" si="24"/>
        <v>3</v>
      </c>
      <c r="D212" s="143">
        <v>50830</v>
      </c>
      <c r="E212" s="19" t="str">
        <f t="shared" si="25"/>
        <v>3-2039</v>
      </c>
      <c r="F212" s="91">
        <f>'IEPR Gas Prices Real'!F214*(INDEX('GDP Deflator'!$D$6:$D$91,MATCH('IEPR Gas Prices Nominal'!$B212,'GDP Deflator'!$B$6:$B$91,0)))</f>
        <v>6.815490003900293</v>
      </c>
      <c r="G212" s="91">
        <f>'IEPR Gas Prices Real'!G214*(INDEX('GDP Deflator'!$D$6:$D$91,MATCH('IEPR Gas Prices Nominal'!$B212,'GDP Deflator'!$B$6:$B$91,0)))</f>
        <v>2.4094096668025196</v>
      </c>
      <c r="H212" s="91">
        <f>'IEPR Gas Prices Real'!H214*(INDEX('GDP Deflator'!$D$6:$D$91,MATCH('IEPR Gas Prices Nominal'!$B212,'GDP Deflator'!$B$6:$B$91,0)))</f>
        <v>9.224899670702813</v>
      </c>
      <c r="I212" s="91">
        <f>'IEPR Gas Prices Real'!I214*(INDEX('GDP Deflator'!$D$6:$D$91,MATCH('IEPR Gas Prices Nominal'!$B212,'GDP Deflator'!$B$6:$B$91,0)))</f>
        <v>7.1522461944915241</v>
      </c>
      <c r="J212" s="91">
        <f>'IEPR Gas Prices Real'!J214*(INDEX('GDP Deflator'!$D$6:$D$91,MATCH('IEPR Gas Prices Nominal'!$B212,'GDP Deflator'!$B$6:$B$91,0)))</f>
        <v>3.9785180420596369</v>
      </c>
      <c r="K212" s="91">
        <f>'IEPR Gas Prices Real'!K214*(INDEX('GDP Deflator'!$D$6:$D$91,MATCH('IEPR Gas Prices Nominal'!$B212,'GDP Deflator'!$B$6:$B$91,0)))</f>
        <v>11.13076423655116</v>
      </c>
      <c r="L212" s="91">
        <f>'IEPR Gas Prices Real'!L214*(INDEX('GDP Deflator'!$D$6:$D$91,MATCH('IEPR Gas Prices Nominal'!$B212,'GDP Deflator'!$B$6:$B$91,0)))</f>
        <v>7.4188498663249156</v>
      </c>
      <c r="M212" s="91">
        <f>'IEPR Gas Prices Real'!M214*(INDEX('GDP Deflator'!$D$6:$D$91,MATCH('IEPR Gas Prices Nominal'!$B212,'GDP Deflator'!$B$6:$B$91,0)))</f>
        <v>1.8788714066999044</v>
      </c>
      <c r="N212" s="91">
        <f>'IEPR Gas Prices Real'!N214*(INDEX('GDP Deflator'!$D$6:$D$91,MATCH('IEPR Gas Prices Nominal'!$B212,'GDP Deflator'!$B$6:$B$91,0)))</f>
        <v>9.2977212730248215</v>
      </c>
      <c r="O212" s="19"/>
      <c r="P212" s="229">
        <f t="shared" si="22"/>
        <v>7.1288620215722434</v>
      </c>
      <c r="Q212" s="229">
        <f t="shared" si="26"/>
        <v>9.8844617267595982</v>
      </c>
      <c r="R212" s="144"/>
    </row>
    <row r="213" spans="2:18">
      <c r="B213" s="142">
        <f t="shared" si="23"/>
        <v>2039</v>
      </c>
      <c r="C213" s="19">
        <f t="shared" si="24"/>
        <v>4</v>
      </c>
      <c r="D213" s="143">
        <v>50861</v>
      </c>
      <c r="E213" s="19" t="str">
        <f t="shared" si="25"/>
        <v>4-2039</v>
      </c>
      <c r="F213" s="91">
        <f>'IEPR Gas Prices Real'!F215*(INDEX('GDP Deflator'!$D$6:$D$91,MATCH('IEPR Gas Prices Nominal'!$B213,'GDP Deflator'!$B$6:$B$91,0)))</f>
        <v>6.6996641960067365</v>
      </c>
      <c r="G213" s="91">
        <f>'IEPR Gas Prices Real'!G215*(INDEX('GDP Deflator'!$D$6:$D$91,MATCH('IEPR Gas Prices Nominal'!$B213,'GDP Deflator'!$B$6:$B$91,0)))</f>
        <v>2.4094096668025196</v>
      </c>
      <c r="H213" s="91">
        <f>'IEPR Gas Prices Real'!H215*(INDEX('GDP Deflator'!$D$6:$D$91,MATCH('IEPR Gas Prices Nominal'!$B213,'GDP Deflator'!$B$6:$B$91,0)))</f>
        <v>9.1090738628092556</v>
      </c>
      <c r="I213" s="91">
        <f>'IEPR Gas Prices Real'!I215*(INDEX('GDP Deflator'!$D$6:$D$91,MATCH('IEPR Gas Prices Nominal'!$B213,'GDP Deflator'!$B$6:$B$91,0)))</f>
        <v>7.0306274263205522</v>
      </c>
      <c r="J213" s="91">
        <f>'IEPR Gas Prices Real'!J215*(INDEX('GDP Deflator'!$D$6:$D$91,MATCH('IEPR Gas Prices Nominal'!$B213,'GDP Deflator'!$B$6:$B$91,0)))</f>
        <v>3.9785180420596369</v>
      </c>
      <c r="K213" s="91">
        <f>'IEPR Gas Prices Real'!K215*(INDEX('GDP Deflator'!$D$6:$D$91,MATCH('IEPR Gas Prices Nominal'!$B213,'GDP Deflator'!$B$6:$B$91,0)))</f>
        <v>11.00914546838019</v>
      </c>
      <c r="L213" s="91">
        <f>'IEPR Gas Prices Real'!L215*(INDEX('GDP Deflator'!$D$6:$D$91,MATCH('IEPR Gas Prices Nominal'!$B213,'GDP Deflator'!$B$6:$B$91,0)))</f>
        <v>7.2921788967354937</v>
      </c>
      <c r="M213" s="91">
        <f>'IEPR Gas Prices Real'!M215*(INDEX('GDP Deflator'!$D$6:$D$91,MATCH('IEPR Gas Prices Nominal'!$B213,'GDP Deflator'!$B$6:$B$91,0)))</f>
        <v>1.8788714066999044</v>
      </c>
      <c r="N213" s="91">
        <f>'IEPR Gas Prices Real'!N215*(INDEX('GDP Deflator'!$D$6:$D$91,MATCH('IEPR Gas Prices Nominal'!$B213,'GDP Deflator'!$B$6:$B$91,0)))</f>
        <v>9.1710503034353987</v>
      </c>
      <c r="O213" s="19"/>
      <c r="P213" s="229">
        <f t="shared" si="22"/>
        <v>7.0074901730209271</v>
      </c>
      <c r="Q213" s="229">
        <f t="shared" si="26"/>
        <v>9.763089878208282</v>
      </c>
      <c r="R213" s="144"/>
    </row>
    <row r="214" spans="2:18">
      <c r="B214" s="142">
        <f t="shared" si="23"/>
        <v>2039</v>
      </c>
      <c r="C214" s="19">
        <f t="shared" si="24"/>
        <v>5</v>
      </c>
      <c r="D214" s="143">
        <v>50891</v>
      </c>
      <c r="E214" s="19" t="str">
        <f t="shared" si="25"/>
        <v>5-2039</v>
      </c>
      <c r="F214" s="91">
        <f>'IEPR Gas Prices Real'!F216*(INDEX('GDP Deflator'!$D$6:$D$91,MATCH('IEPR Gas Prices Nominal'!$B214,'GDP Deflator'!$B$6:$B$91,0)))</f>
        <v>6.9329800913740698</v>
      </c>
      <c r="G214" s="91">
        <f>'IEPR Gas Prices Real'!G216*(INDEX('GDP Deflator'!$D$6:$D$91,MATCH('IEPR Gas Prices Nominal'!$B214,'GDP Deflator'!$B$6:$B$91,0)))</f>
        <v>2.4094096668025196</v>
      </c>
      <c r="H214" s="91">
        <f>'IEPR Gas Prices Real'!H216*(INDEX('GDP Deflator'!$D$6:$D$91,MATCH('IEPR Gas Prices Nominal'!$B214,'GDP Deflator'!$B$6:$B$91,0)))</f>
        <v>9.3423897581765889</v>
      </c>
      <c r="I214" s="91">
        <f>'IEPR Gas Prices Real'!I216*(INDEX('GDP Deflator'!$D$6:$D$91,MATCH('IEPR Gas Prices Nominal'!$B214,'GDP Deflator'!$B$6:$B$91,0)))</f>
        <v>7.2753967223339187</v>
      </c>
      <c r="J214" s="91">
        <f>'IEPR Gas Prices Real'!J216*(INDEX('GDP Deflator'!$D$6:$D$91,MATCH('IEPR Gas Prices Nominal'!$B214,'GDP Deflator'!$B$6:$B$91,0)))</f>
        <v>3.9785180420596369</v>
      </c>
      <c r="K214" s="91">
        <f>'IEPR Gas Prices Real'!K216*(INDEX('GDP Deflator'!$D$6:$D$91,MATCH('IEPR Gas Prices Nominal'!$B214,'GDP Deflator'!$B$6:$B$91,0)))</f>
        <v>11.253914764393555</v>
      </c>
      <c r="L214" s="91">
        <f>'IEPR Gas Prices Real'!L216*(INDEX('GDP Deflator'!$D$6:$D$91,MATCH('IEPR Gas Prices Nominal'!$B214,'GDP Deflator'!$B$6:$B$91,0)))</f>
        <v>7.545517139570082</v>
      </c>
      <c r="M214" s="91">
        <f>'IEPR Gas Prices Real'!M216*(INDEX('GDP Deflator'!$D$6:$D$91,MATCH('IEPR Gas Prices Nominal'!$B214,'GDP Deflator'!$B$6:$B$91,0)))</f>
        <v>1.8788714066999044</v>
      </c>
      <c r="N214" s="91">
        <f>'IEPR Gas Prices Real'!N216*(INDEX('GDP Deflator'!$D$6:$D$91,MATCH('IEPR Gas Prices Nominal'!$B214,'GDP Deflator'!$B$6:$B$91,0)))</f>
        <v>9.4243885462699861</v>
      </c>
      <c r="O214" s="19"/>
      <c r="P214" s="229">
        <f t="shared" si="22"/>
        <v>7.2512979844260244</v>
      </c>
      <c r="Q214" s="229">
        <f t="shared" si="26"/>
        <v>10.006897689613377</v>
      </c>
      <c r="R214" s="144"/>
    </row>
    <row r="215" spans="2:18">
      <c r="B215" s="142">
        <f t="shared" si="23"/>
        <v>2039</v>
      </c>
      <c r="C215" s="19">
        <f t="shared" si="24"/>
        <v>6</v>
      </c>
      <c r="D215" s="143">
        <v>50922</v>
      </c>
      <c r="E215" s="19" t="str">
        <f t="shared" si="25"/>
        <v>6-2039</v>
      </c>
      <c r="F215" s="91">
        <f>'IEPR Gas Prices Real'!F217*(INDEX('GDP Deflator'!$D$6:$D$91,MATCH('IEPR Gas Prices Nominal'!$B215,'GDP Deflator'!$B$6:$B$91,0)))</f>
        <v>7.1123645250568055</v>
      </c>
      <c r="G215" s="91">
        <f>'IEPR Gas Prices Real'!G217*(INDEX('GDP Deflator'!$D$6:$D$91,MATCH('IEPR Gas Prices Nominal'!$B215,'GDP Deflator'!$B$6:$B$91,0)))</f>
        <v>2.4094096668025196</v>
      </c>
      <c r="H215" s="91">
        <f>'IEPR Gas Prices Real'!H217*(INDEX('GDP Deflator'!$D$6:$D$91,MATCH('IEPR Gas Prices Nominal'!$B215,'GDP Deflator'!$B$6:$B$91,0)))</f>
        <v>9.5217741918593255</v>
      </c>
      <c r="I215" s="91">
        <f>'IEPR Gas Prices Real'!I217*(INDEX('GDP Deflator'!$D$6:$D$91,MATCH('IEPR Gas Prices Nominal'!$B215,'GDP Deflator'!$B$6:$B$91,0)))</f>
        <v>7.4635665944237433</v>
      </c>
      <c r="J215" s="91">
        <f>'IEPR Gas Prices Real'!J217*(INDEX('GDP Deflator'!$D$6:$D$91,MATCH('IEPR Gas Prices Nominal'!$B215,'GDP Deflator'!$B$6:$B$91,0)))</f>
        <v>3.9785180420596369</v>
      </c>
      <c r="K215" s="91">
        <f>'IEPR Gas Prices Real'!K217*(INDEX('GDP Deflator'!$D$6:$D$91,MATCH('IEPR Gas Prices Nominal'!$B215,'GDP Deflator'!$B$6:$B$91,0)))</f>
        <v>11.442084636483379</v>
      </c>
      <c r="L215" s="91">
        <f>'IEPR Gas Prices Real'!L217*(INDEX('GDP Deflator'!$D$6:$D$91,MATCH('IEPR Gas Prices Nominal'!$B215,'GDP Deflator'!$B$6:$B$91,0)))</f>
        <v>7.7401225566922118</v>
      </c>
      <c r="M215" s="91">
        <f>'IEPR Gas Prices Real'!M217*(INDEX('GDP Deflator'!$D$6:$D$91,MATCH('IEPR Gas Prices Nominal'!$B215,'GDP Deflator'!$B$6:$B$91,0)))</f>
        <v>1.8788714066999044</v>
      </c>
      <c r="N215" s="91">
        <f>'IEPR Gas Prices Real'!N217*(INDEX('GDP Deflator'!$D$6:$D$91,MATCH('IEPR Gas Prices Nominal'!$B215,'GDP Deflator'!$B$6:$B$91,0)))</f>
        <v>9.6189939633921178</v>
      </c>
      <c r="O215" s="19"/>
      <c r="P215" s="229">
        <f t="shared" si="22"/>
        <v>7.4386845587242538</v>
      </c>
      <c r="Q215" s="229">
        <f t="shared" si="26"/>
        <v>10.194284263911607</v>
      </c>
      <c r="R215" s="144"/>
    </row>
    <row r="216" spans="2:18">
      <c r="B216" s="142">
        <f t="shared" si="23"/>
        <v>2039</v>
      </c>
      <c r="C216" s="19">
        <f t="shared" si="24"/>
        <v>7</v>
      </c>
      <c r="D216" s="143">
        <v>50952</v>
      </c>
      <c r="E216" s="19" t="str">
        <f t="shared" si="25"/>
        <v>7-2039</v>
      </c>
      <c r="F216" s="91">
        <f>'IEPR Gas Prices Real'!F218*(INDEX('GDP Deflator'!$D$6:$D$91,MATCH('IEPR Gas Prices Nominal'!$B216,'GDP Deflator'!$B$6:$B$91,0)))</f>
        <v>7.1689441943116892</v>
      </c>
      <c r="G216" s="91">
        <f>'IEPR Gas Prices Real'!G218*(INDEX('GDP Deflator'!$D$6:$D$91,MATCH('IEPR Gas Prices Nominal'!$B216,'GDP Deflator'!$B$6:$B$91,0)))</f>
        <v>2.4094096668025196</v>
      </c>
      <c r="H216" s="91">
        <f>'IEPR Gas Prices Real'!H218*(INDEX('GDP Deflator'!$D$6:$D$91,MATCH('IEPR Gas Prices Nominal'!$B216,'GDP Deflator'!$B$6:$B$91,0)))</f>
        <v>9.5783538611142092</v>
      </c>
      <c r="I216" s="91">
        <f>'IEPR Gas Prices Real'!I218*(INDEX('GDP Deflator'!$D$6:$D$91,MATCH('IEPR Gas Prices Nominal'!$B216,'GDP Deflator'!$B$6:$B$91,0)))</f>
        <v>7.5228652476797473</v>
      </c>
      <c r="J216" s="91">
        <f>'IEPR Gas Prices Real'!J218*(INDEX('GDP Deflator'!$D$6:$D$91,MATCH('IEPR Gas Prices Nominal'!$B216,'GDP Deflator'!$B$6:$B$91,0)))</f>
        <v>3.9785180420596369</v>
      </c>
      <c r="K216" s="91">
        <f>'IEPR Gas Prices Real'!K218*(INDEX('GDP Deflator'!$D$6:$D$91,MATCH('IEPR Gas Prices Nominal'!$B216,'GDP Deflator'!$B$6:$B$91,0)))</f>
        <v>11.501383289739385</v>
      </c>
      <c r="L216" s="91">
        <f>'IEPR Gas Prices Real'!L218*(INDEX('GDP Deflator'!$D$6:$D$91,MATCH('IEPR Gas Prices Nominal'!$B216,'GDP Deflator'!$B$6:$B$91,0)))</f>
        <v>7.8010632473731523</v>
      </c>
      <c r="M216" s="91">
        <f>'IEPR Gas Prices Real'!M218*(INDEX('GDP Deflator'!$D$6:$D$91,MATCH('IEPR Gas Prices Nominal'!$B216,'GDP Deflator'!$B$6:$B$91,0)))</f>
        <v>1.8788714066999044</v>
      </c>
      <c r="N216" s="91">
        <f>'IEPR Gas Prices Real'!N218*(INDEX('GDP Deflator'!$D$6:$D$91,MATCH('IEPR Gas Prices Nominal'!$B216,'GDP Deflator'!$B$6:$B$91,0)))</f>
        <v>9.6799346540730564</v>
      </c>
      <c r="O216" s="19"/>
      <c r="P216" s="229">
        <f t="shared" si="22"/>
        <v>7.4976242297881965</v>
      </c>
      <c r="Q216" s="229">
        <f t="shared" si="26"/>
        <v>10.253223934975551</v>
      </c>
      <c r="R216" s="144"/>
    </row>
    <row r="217" spans="2:18">
      <c r="B217" s="142">
        <f t="shared" si="23"/>
        <v>2039</v>
      </c>
      <c r="C217" s="19">
        <f t="shared" si="24"/>
        <v>8</v>
      </c>
      <c r="D217" s="143">
        <v>50983</v>
      </c>
      <c r="E217" s="19" t="str">
        <f t="shared" si="25"/>
        <v>8-2039</v>
      </c>
      <c r="F217" s="91">
        <f>'IEPR Gas Prices Real'!F219*(INDEX('GDP Deflator'!$D$6:$D$91,MATCH('IEPR Gas Prices Nominal'!$B217,'GDP Deflator'!$B$6:$B$91,0)))</f>
        <v>7.1137237459777074</v>
      </c>
      <c r="G217" s="91">
        <f>'IEPR Gas Prices Real'!G219*(INDEX('GDP Deflator'!$D$6:$D$91,MATCH('IEPR Gas Prices Nominal'!$B217,'GDP Deflator'!$B$6:$B$91,0)))</f>
        <v>2.4094096668025196</v>
      </c>
      <c r="H217" s="91">
        <f>'IEPR Gas Prices Real'!H219*(INDEX('GDP Deflator'!$D$6:$D$91,MATCH('IEPR Gas Prices Nominal'!$B217,'GDP Deflator'!$B$6:$B$91,0)))</f>
        <v>9.5231334127802274</v>
      </c>
      <c r="I217" s="91">
        <f>'IEPR Gas Prices Real'!I219*(INDEX('GDP Deflator'!$D$6:$D$91,MATCH('IEPR Gas Prices Nominal'!$B217,'GDP Deflator'!$B$6:$B$91,0)))</f>
        <v>7.4648443459415246</v>
      </c>
      <c r="J217" s="91">
        <f>'IEPR Gas Prices Real'!J219*(INDEX('GDP Deflator'!$D$6:$D$91,MATCH('IEPR Gas Prices Nominal'!$B217,'GDP Deflator'!$B$6:$B$91,0)))</f>
        <v>3.9785180420596369</v>
      </c>
      <c r="K217" s="91">
        <f>'IEPR Gas Prices Real'!K219*(INDEX('GDP Deflator'!$D$6:$D$91,MATCH('IEPR Gas Prices Nominal'!$B217,'GDP Deflator'!$B$6:$B$91,0)))</f>
        <v>11.443362388001162</v>
      </c>
      <c r="L217" s="91">
        <f>'IEPR Gas Prices Real'!L219*(INDEX('GDP Deflator'!$D$6:$D$91,MATCH('IEPR Gas Prices Nominal'!$B217,'GDP Deflator'!$B$6:$B$91,0)))</f>
        <v>7.7403457402086264</v>
      </c>
      <c r="M217" s="91">
        <f>'IEPR Gas Prices Real'!M219*(INDEX('GDP Deflator'!$D$6:$D$91,MATCH('IEPR Gas Prices Nominal'!$B217,'GDP Deflator'!$B$6:$B$91,0)))</f>
        <v>1.8788714066999044</v>
      </c>
      <c r="N217" s="91">
        <f>'IEPR Gas Prices Real'!N219*(INDEX('GDP Deflator'!$D$6:$D$91,MATCH('IEPR Gas Prices Nominal'!$B217,'GDP Deflator'!$B$6:$B$91,0)))</f>
        <v>9.6192171469085306</v>
      </c>
      <c r="O217" s="19"/>
      <c r="P217" s="229">
        <f t="shared" si="22"/>
        <v>7.4396379440426195</v>
      </c>
      <c r="Q217" s="229">
        <f t="shared" si="26"/>
        <v>10.195237649229973</v>
      </c>
      <c r="R217" s="144"/>
    </row>
    <row r="218" spans="2:18">
      <c r="B218" s="142">
        <f t="shared" si="23"/>
        <v>2039</v>
      </c>
      <c r="C218" s="19">
        <f t="shared" si="24"/>
        <v>9</v>
      </c>
      <c r="D218" s="143">
        <v>51014</v>
      </c>
      <c r="E218" s="19" t="str">
        <f t="shared" si="25"/>
        <v>9-2039</v>
      </c>
      <c r="F218" s="91">
        <f>'IEPR Gas Prices Real'!F220*(INDEX('GDP Deflator'!$D$6:$D$91,MATCH('IEPR Gas Prices Nominal'!$B218,'GDP Deflator'!$B$6:$B$91,0)))</f>
        <v>7.2139398129493095</v>
      </c>
      <c r="G218" s="91">
        <f>'IEPR Gas Prices Real'!G220*(INDEX('GDP Deflator'!$D$6:$D$91,MATCH('IEPR Gas Prices Nominal'!$B218,'GDP Deflator'!$B$6:$B$91,0)))</f>
        <v>2.4094096668025196</v>
      </c>
      <c r="H218" s="91">
        <f>'IEPR Gas Prices Real'!H220*(INDEX('GDP Deflator'!$D$6:$D$91,MATCH('IEPR Gas Prices Nominal'!$B218,'GDP Deflator'!$B$6:$B$91,0)))</f>
        <v>9.6233494797518286</v>
      </c>
      <c r="I218" s="91">
        <f>'IEPR Gas Prices Real'!I220*(INDEX('GDP Deflator'!$D$6:$D$91,MATCH('IEPR Gas Prices Nominal'!$B218,'GDP Deflator'!$B$6:$B$91,0)))</f>
        <v>7.5699315531477902</v>
      </c>
      <c r="J218" s="91">
        <f>'IEPR Gas Prices Real'!J220*(INDEX('GDP Deflator'!$D$6:$D$91,MATCH('IEPR Gas Prices Nominal'!$B218,'GDP Deflator'!$B$6:$B$91,0)))</f>
        <v>3.9785180420596369</v>
      </c>
      <c r="K218" s="91">
        <f>'IEPR Gas Prices Real'!K220*(INDEX('GDP Deflator'!$D$6:$D$91,MATCH('IEPR Gas Prices Nominal'!$B218,'GDP Deflator'!$B$6:$B$91,0)))</f>
        <v>11.548449595207426</v>
      </c>
      <c r="L218" s="91">
        <f>'IEPR Gas Prices Real'!L220*(INDEX('GDP Deflator'!$D$6:$D$91,MATCH('IEPR Gas Prices Nominal'!$B218,'GDP Deflator'!$B$6:$B$91,0)))</f>
        <v>7.8487525862527905</v>
      </c>
      <c r="M218" s="91">
        <f>'IEPR Gas Prices Real'!M220*(INDEX('GDP Deflator'!$D$6:$D$91,MATCH('IEPR Gas Prices Nominal'!$B218,'GDP Deflator'!$B$6:$B$91,0)))</f>
        <v>1.8788714066999044</v>
      </c>
      <c r="N218" s="91">
        <f>'IEPR Gas Prices Real'!N220*(INDEX('GDP Deflator'!$D$6:$D$91,MATCH('IEPR Gas Prices Nominal'!$B218,'GDP Deflator'!$B$6:$B$91,0)))</f>
        <v>9.7276239929526955</v>
      </c>
      <c r="O218" s="19"/>
      <c r="P218" s="229">
        <f t="shared" si="22"/>
        <v>7.5442079841166292</v>
      </c>
      <c r="Q218" s="229">
        <f t="shared" si="26"/>
        <v>10.299807689303982</v>
      </c>
      <c r="R218" s="144"/>
    </row>
    <row r="219" spans="2:18">
      <c r="B219" s="142">
        <f t="shared" si="23"/>
        <v>2039</v>
      </c>
      <c r="C219" s="19">
        <f t="shared" si="24"/>
        <v>10</v>
      </c>
      <c r="D219" s="143">
        <v>51044</v>
      </c>
      <c r="E219" s="19" t="str">
        <f t="shared" si="25"/>
        <v>10-2039</v>
      </c>
      <c r="F219" s="91">
        <f>'IEPR Gas Prices Real'!F221*(INDEX('GDP Deflator'!$D$6:$D$91,MATCH('IEPR Gas Prices Nominal'!$B219,'GDP Deflator'!$B$6:$B$91,0)))</f>
        <v>7.1725238824794415</v>
      </c>
      <c r="G219" s="91">
        <f>'IEPR Gas Prices Real'!G221*(INDEX('GDP Deflator'!$D$6:$D$91,MATCH('IEPR Gas Prices Nominal'!$B219,'GDP Deflator'!$B$6:$B$91,0)))</f>
        <v>2.4094096668025196</v>
      </c>
      <c r="H219" s="91">
        <f>'IEPR Gas Prices Real'!H221*(INDEX('GDP Deflator'!$D$6:$D$91,MATCH('IEPR Gas Prices Nominal'!$B219,'GDP Deflator'!$B$6:$B$91,0)))</f>
        <v>9.5819335492819615</v>
      </c>
      <c r="I219" s="91">
        <f>'IEPR Gas Prices Real'!I221*(INDEX('GDP Deflator'!$D$6:$D$91,MATCH('IEPR Gas Prices Nominal'!$B219,'GDP Deflator'!$B$6:$B$91,0)))</f>
        <v>7.5263969245270701</v>
      </c>
      <c r="J219" s="91">
        <f>'IEPR Gas Prices Real'!J221*(INDEX('GDP Deflator'!$D$6:$D$91,MATCH('IEPR Gas Prices Nominal'!$B219,'GDP Deflator'!$B$6:$B$91,0)))</f>
        <v>3.9785180420596369</v>
      </c>
      <c r="K219" s="91">
        <f>'IEPR Gas Prices Real'!K221*(INDEX('GDP Deflator'!$D$6:$D$91,MATCH('IEPR Gas Prices Nominal'!$B219,'GDP Deflator'!$B$6:$B$91,0)))</f>
        <v>11.504914966586707</v>
      </c>
      <c r="L219" s="91">
        <f>'IEPR Gas Prices Real'!L221*(INDEX('GDP Deflator'!$D$6:$D$91,MATCH('IEPR Gas Prices Nominal'!$B219,'GDP Deflator'!$B$6:$B$91,0)))</f>
        <v>7.8030588756745001</v>
      </c>
      <c r="M219" s="91">
        <f>'IEPR Gas Prices Real'!M221*(INDEX('GDP Deflator'!$D$6:$D$91,MATCH('IEPR Gas Prices Nominal'!$B219,'GDP Deflator'!$B$6:$B$91,0)))</f>
        <v>1.8788714066999044</v>
      </c>
      <c r="N219" s="91">
        <f>'IEPR Gas Prices Real'!N221*(INDEX('GDP Deflator'!$D$6:$D$91,MATCH('IEPR Gas Prices Nominal'!$B219,'GDP Deflator'!$B$6:$B$91,0)))</f>
        <v>9.6819302823744042</v>
      </c>
      <c r="O219" s="19"/>
      <c r="P219" s="229">
        <f t="shared" si="22"/>
        <v>7.5006598942270033</v>
      </c>
      <c r="Q219" s="229">
        <f t="shared" si="26"/>
        <v>10.256259599414356</v>
      </c>
      <c r="R219" s="144"/>
    </row>
    <row r="220" spans="2:18">
      <c r="B220" s="142">
        <f t="shared" si="23"/>
        <v>2039</v>
      </c>
      <c r="C220" s="19">
        <f t="shared" si="24"/>
        <v>11</v>
      </c>
      <c r="D220" s="143">
        <v>51075</v>
      </c>
      <c r="E220" s="19" t="str">
        <f t="shared" si="25"/>
        <v>11-2039</v>
      </c>
      <c r="F220" s="91">
        <f>'IEPR Gas Prices Real'!F222*(INDEX('GDP Deflator'!$D$6:$D$91,MATCH('IEPR Gas Prices Nominal'!$B220,'GDP Deflator'!$B$6:$B$91,0)))</f>
        <v>7.5272011913633463</v>
      </c>
      <c r="G220" s="91">
        <f>'IEPR Gas Prices Real'!G222*(INDEX('GDP Deflator'!$D$6:$D$91,MATCH('IEPR Gas Prices Nominal'!$B220,'GDP Deflator'!$B$6:$B$91,0)))</f>
        <v>2.4094096668025196</v>
      </c>
      <c r="H220" s="91">
        <f>'IEPR Gas Prices Real'!H222*(INDEX('GDP Deflator'!$D$6:$D$91,MATCH('IEPR Gas Prices Nominal'!$B220,'GDP Deflator'!$B$6:$B$91,0)))</f>
        <v>9.9366108581658654</v>
      </c>
      <c r="I220" s="91">
        <f>'IEPR Gas Prices Real'!I222*(INDEX('GDP Deflator'!$D$6:$D$91,MATCH('IEPR Gas Prices Nominal'!$B220,'GDP Deflator'!$B$6:$B$91,0)))</f>
        <v>7.8984944355161257</v>
      </c>
      <c r="J220" s="91">
        <f>'IEPR Gas Prices Real'!J222*(INDEX('GDP Deflator'!$D$6:$D$91,MATCH('IEPR Gas Prices Nominal'!$B220,'GDP Deflator'!$B$6:$B$91,0)))</f>
        <v>3.9785180420596369</v>
      </c>
      <c r="K220" s="91">
        <f>'IEPR Gas Prices Real'!K222*(INDEX('GDP Deflator'!$D$6:$D$91,MATCH('IEPR Gas Prices Nominal'!$B220,'GDP Deflator'!$B$6:$B$91,0)))</f>
        <v>11.877012477575763</v>
      </c>
      <c r="L220" s="91">
        <f>'IEPR Gas Prices Real'!L222*(INDEX('GDP Deflator'!$D$6:$D$91,MATCH('IEPR Gas Prices Nominal'!$B220,'GDP Deflator'!$B$6:$B$91,0)))</f>
        <v>8.188251189170245</v>
      </c>
      <c r="M220" s="91">
        <f>'IEPR Gas Prices Real'!M222*(INDEX('GDP Deflator'!$D$6:$D$91,MATCH('IEPR Gas Prices Nominal'!$B220,'GDP Deflator'!$B$6:$B$91,0)))</f>
        <v>1.8788714066999044</v>
      </c>
      <c r="N220" s="91">
        <f>'IEPR Gas Prices Real'!N222*(INDEX('GDP Deflator'!$D$6:$D$91,MATCH('IEPR Gas Prices Nominal'!$B220,'GDP Deflator'!$B$6:$B$91,0)))</f>
        <v>10.067122595870149</v>
      </c>
      <c r="O220" s="19"/>
      <c r="P220" s="229">
        <f t="shared" si="22"/>
        <v>7.8713156053499063</v>
      </c>
      <c r="Q220" s="229">
        <f t="shared" si="26"/>
        <v>10.626915310537258</v>
      </c>
      <c r="R220" s="144"/>
    </row>
    <row r="221" spans="2:18">
      <c r="B221" s="142">
        <f t="shared" si="23"/>
        <v>2039</v>
      </c>
      <c r="C221" s="19">
        <f t="shared" si="24"/>
        <v>12</v>
      </c>
      <c r="D221" s="143">
        <v>51105</v>
      </c>
      <c r="E221" s="19" t="str">
        <f t="shared" si="25"/>
        <v>12-2039</v>
      </c>
      <c r="F221" s="91">
        <f>'IEPR Gas Prices Real'!F223*(INDEX('GDP Deflator'!$D$6:$D$91,MATCH('IEPR Gas Prices Nominal'!$B221,'GDP Deflator'!$B$6:$B$91,0)))</f>
        <v>7.5879094482716951</v>
      </c>
      <c r="G221" s="91">
        <f>'IEPR Gas Prices Real'!G223*(INDEX('GDP Deflator'!$D$6:$D$91,MATCH('IEPR Gas Prices Nominal'!$B221,'GDP Deflator'!$B$6:$B$91,0)))</f>
        <v>2.4094096668025196</v>
      </c>
      <c r="H221" s="91">
        <f>'IEPR Gas Prices Real'!H223*(INDEX('GDP Deflator'!$D$6:$D$91,MATCH('IEPR Gas Prices Nominal'!$B221,'GDP Deflator'!$B$6:$B$91,0)))</f>
        <v>9.9973191150742142</v>
      </c>
      <c r="I221" s="91">
        <f>'IEPR Gas Prices Real'!I223*(INDEX('GDP Deflator'!$D$6:$D$91,MATCH('IEPR Gas Prices Nominal'!$B221,'GDP Deflator'!$B$6:$B$91,0)))</f>
        <v>7.9621179805374709</v>
      </c>
      <c r="J221" s="91">
        <f>'IEPR Gas Prices Real'!J223*(INDEX('GDP Deflator'!$D$6:$D$91,MATCH('IEPR Gas Prices Nominal'!$B221,'GDP Deflator'!$B$6:$B$91,0)))</f>
        <v>3.9785180420596369</v>
      </c>
      <c r="K221" s="91">
        <f>'IEPR Gas Prices Real'!K223*(INDEX('GDP Deflator'!$D$6:$D$91,MATCH('IEPR Gas Prices Nominal'!$B221,'GDP Deflator'!$B$6:$B$91,0)))</f>
        <v>11.940636022597108</v>
      </c>
      <c r="L221" s="91">
        <f>'IEPR Gas Prices Real'!L223*(INDEX('GDP Deflator'!$D$6:$D$91,MATCH('IEPR Gas Prices Nominal'!$B221,'GDP Deflator'!$B$6:$B$91,0)))</f>
        <v>8.2536209487409646</v>
      </c>
      <c r="M221" s="91">
        <f>'IEPR Gas Prices Real'!M223*(INDEX('GDP Deflator'!$D$6:$D$91,MATCH('IEPR Gas Prices Nominal'!$B221,'GDP Deflator'!$B$6:$B$91,0)))</f>
        <v>1.8788714066999044</v>
      </c>
      <c r="N221" s="91">
        <f>'IEPR Gas Prices Real'!N223*(INDEX('GDP Deflator'!$D$6:$D$91,MATCH('IEPR Gas Prices Nominal'!$B221,'GDP Deflator'!$B$6:$B$91,0)))</f>
        <v>10.132492355440869</v>
      </c>
      <c r="O221" s="19"/>
      <c r="P221" s="229">
        <f t="shared" si="22"/>
        <v>7.9345494591833772</v>
      </c>
      <c r="Q221" s="229">
        <f t="shared" si="26"/>
        <v>10.69014916437073</v>
      </c>
      <c r="R221" s="144"/>
    </row>
    <row r="222" spans="2:18">
      <c r="B222" s="142">
        <f t="shared" si="23"/>
        <v>2040</v>
      </c>
      <c r="C222" s="19">
        <f t="shared" si="24"/>
        <v>1</v>
      </c>
      <c r="D222" s="143">
        <v>51136</v>
      </c>
      <c r="E222" s="19" t="str">
        <f t="shared" si="25"/>
        <v>1-2040</v>
      </c>
      <c r="F222" s="91">
        <f>'IEPR Gas Prices Real'!F224*(INDEX('GDP Deflator'!$D$6:$D$91,MATCH('IEPR Gas Prices Nominal'!$B222,'GDP Deflator'!$B$6:$B$91,0)))</f>
        <v>7.7608433789465181</v>
      </c>
      <c r="G222" s="91">
        <f>'IEPR Gas Prices Real'!G224*(INDEX('GDP Deflator'!$D$6:$D$91,MATCH('IEPR Gas Prices Nominal'!$B222,'GDP Deflator'!$B$6:$B$91,0)))</f>
        <v>2.5628008502774771</v>
      </c>
      <c r="H222" s="91">
        <f>'IEPR Gas Prices Real'!H224*(INDEX('GDP Deflator'!$D$6:$D$91,MATCH('IEPR Gas Prices Nominal'!$B222,'GDP Deflator'!$B$6:$B$91,0)))</f>
        <v>10.323644229223996</v>
      </c>
      <c r="I222" s="91">
        <f>'IEPR Gas Prices Real'!I224*(INDEX('GDP Deflator'!$D$6:$D$91,MATCH('IEPR Gas Prices Nominal'!$B222,'GDP Deflator'!$B$6:$B$91,0)))</f>
        <v>8.1434743493125481</v>
      </c>
      <c r="J222" s="91">
        <f>'IEPR Gas Prices Real'!J224*(INDEX('GDP Deflator'!$D$6:$D$91,MATCH('IEPR Gas Prices Nominal'!$B222,'GDP Deflator'!$B$6:$B$91,0)))</f>
        <v>4.2318039814980226</v>
      </c>
      <c r="K222" s="91">
        <f>'IEPR Gas Prices Real'!K224*(INDEX('GDP Deflator'!$D$6:$D$91,MATCH('IEPR Gas Prices Nominal'!$B222,'GDP Deflator'!$B$6:$B$91,0)))</f>
        <v>12.37527833081057</v>
      </c>
      <c r="L222" s="91">
        <f>'IEPR Gas Prices Real'!L224*(INDEX('GDP Deflator'!$D$6:$D$91,MATCH('IEPR Gas Prices Nominal'!$B222,'GDP Deflator'!$B$6:$B$91,0)))</f>
        <v>8.4416196209789476</v>
      </c>
      <c r="M222" s="91">
        <f>'IEPR Gas Prices Real'!M224*(INDEX('GDP Deflator'!$D$6:$D$91,MATCH('IEPR Gas Prices Nominal'!$B222,'GDP Deflator'!$B$6:$B$91,0)))</f>
        <v>1.9984867268515101</v>
      </c>
      <c r="N222" s="91">
        <f>'IEPR Gas Prices Real'!N224*(INDEX('GDP Deflator'!$D$6:$D$91,MATCH('IEPR Gas Prices Nominal'!$B222,'GDP Deflator'!$B$6:$B$91,0)))</f>
        <v>10.440106347830458</v>
      </c>
      <c r="O222" s="19"/>
      <c r="P222" s="229">
        <f t="shared" si="22"/>
        <v>8.1153124497460052</v>
      </c>
      <c r="Q222" s="229">
        <f t="shared" si="26"/>
        <v>11.046342969288341</v>
      </c>
      <c r="R222" s="144"/>
    </row>
    <row r="223" spans="2:18">
      <c r="B223" s="142">
        <f t="shared" si="23"/>
        <v>2040</v>
      </c>
      <c r="C223" s="19">
        <f t="shared" si="24"/>
        <v>2</v>
      </c>
      <c r="D223" s="143">
        <v>51167</v>
      </c>
      <c r="E223" s="19" t="str">
        <f t="shared" si="25"/>
        <v>2-2040</v>
      </c>
      <c r="F223" s="91">
        <f>'IEPR Gas Prices Real'!F225*(INDEX('GDP Deflator'!$D$6:$D$91,MATCH('IEPR Gas Prices Nominal'!$B223,'GDP Deflator'!$B$6:$B$91,0)))</f>
        <v>7.5905211892335087</v>
      </c>
      <c r="G223" s="91">
        <f>'IEPR Gas Prices Real'!G225*(INDEX('GDP Deflator'!$D$6:$D$91,MATCH('IEPR Gas Prices Nominal'!$B223,'GDP Deflator'!$B$6:$B$91,0)))</f>
        <v>2.5628008502774771</v>
      </c>
      <c r="H223" s="91">
        <f>'IEPR Gas Prices Real'!H225*(INDEX('GDP Deflator'!$D$6:$D$91,MATCH('IEPR Gas Prices Nominal'!$B223,'GDP Deflator'!$B$6:$B$91,0)))</f>
        <v>10.153322039510986</v>
      </c>
      <c r="I223" s="91">
        <f>'IEPR Gas Prices Real'!I225*(INDEX('GDP Deflator'!$D$6:$D$91,MATCH('IEPR Gas Prices Nominal'!$B223,'GDP Deflator'!$B$6:$B$91,0)))</f>
        <v>7.9646510759745572</v>
      </c>
      <c r="J223" s="91">
        <f>'IEPR Gas Prices Real'!J225*(INDEX('GDP Deflator'!$D$6:$D$91,MATCH('IEPR Gas Prices Nominal'!$B223,'GDP Deflator'!$B$6:$B$91,0)))</f>
        <v>4.2318039814980226</v>
      </c>
      <c r="K223" s="91">
        <f>'IEPR Gas Prices Real'!K225*(INDEX('GDP Deflator'!$D$6:$D$91,MATCH('IEPR Gas Prices Nominal'!$B223,'GDP Deflator'!$B$6:$B$91,0)))</f>
        <v>12.19645505747258</v>
      </c>
      <c r="L223" s="91">
        <f>'IEPR Gas Prices Real'!L225*(INDEX('GDP Deflator'!$D$6:$D$91,MATCH('IEPR Gas Prices Nominal'!$B223,'GDP Deflator'!$B$6:$B$91,0)))</f>
        <v>8.2562519149761382</v>
      </c>
      <c r="M223" s="91">
        <f>'IEPR Gas Prices Real'!M225*(INDEX('GDP Deflator'!$D$6:$D$91,MATCH('IEPR Gas Prices Nominal'!$B223,'GDP Deflator'!$B$6:$B$91,0)))</f>
        <v>1.9984867268515101</v>
      </c>
      <c r="N223" s="91">
        <f>'IEPR Gas Prices Real'!N225*(INDEX('GDP Deflator'!$D$6:$D$91,MATCH('IEPR Gas Prices Nominal'!$B223,'GDP Deflator'!$B$6:$B$91,0)))</f>
        <v>10.254738641827648</v>
      </c>
      <c r="O223" s="19"/>
      <c r="P223" s="229">
        <f t="shared" si="22"/>
        <v>7.937141393394735</v>
      </c>
      <c r="Q223" s="229">
        <f t="shared" si="26"/>
        <v>10.868171912937072</v>
      </c>
      <c r="R223" s="144"/>
    </row>
    <row r="224" spans="2:18">
      <c r="B224" s="142">
        <f t="shared" si="23"/>
        <v>2040</v>
      </c>
      <c r="C224" s="19">
        <f t="shared" si="24"/>
        <v>3</v>
      </c>
      <c r="D224" s="143">
        <v>51196</v>
      </c>
      <c r="E224" s="19" t="str">
        <f t="shared" si="25"/>
        <v>3-2040</v>
      </c>
      <c r="F224" s="91">
        <f>'IEPR Gas Prices Real'!F226*(INDEX('GDP Deflator'!$D$6:$D$91,MATCH('IEPR Gas Prices Nominal'!$B224,'GDP Deflator'!$B$6:$B$91,0)))</f>
        <v>6.9679664078686843</v>
      </c>
      <c r="G224" s="91">
        <f>'IEPR Gas Prices Real'!G226*(INDEX('GDP Deflator'!$D$6:$D$91,MATCH('IEPR Gas Prices Nominal'!$B224,'GDP Deflator'!$B$6:$B$91,0)))</f>
        <v>2.5628008502774771</v>
      </c>
      <c r="H224" s="91">
        <f>'IEPR Gas Prices Real'!H226*(INDEX('GDP Deflator'!$D$6:$D$91,MATCH('IEPR Gas Prices Nominal'!$B224,'GDP Deflator'!$B$6:$B$91,0)))</f>
        <v>9.5307672581461613</v>
      </c>
      <c r="I224" s="91">
        <f>'IEPR Gas Prices Real'!I226*(INDEX('GDP Deflator'!$D$6:$D$91,MATCH('IEPR Gas Prices Nominal'!$B224,'GDP Deflator'!$B$6:$B$91,0)))</f>
        <v>7.3113159009722022</v>
      </c>
      <c r="J224" s="91">
        <f>'IEPR Gas Prices Real'!J226*(INDEX('GDP Deflator'!$D$6:$D$91,MATCH('IEPR Gas Prices Nominal'!$B224,'GDP Deflator'!$B$6:$B$91,0)))</f>
        <v>4.2318039814980226</v>
      </c>
      <c r="K224" s="91">
        <f>'IEPR Gas Prices Real'!K226*(INDEX('GDP Deflator'!$D$6:$D$91,MATCH('IEPR Gas Prices Nominal'!$B224,'GDP Deflator'!$B$6:$B$91,0)))</f>
        <v>11.543119882470224</v>
      </c>
      <c r="L224" s="91">
        <f>'IEPR Gas Prices Real'!L226*(INDEX('GDP Deflator'!$D$6:$D$91,MATCH('IEPR Gas Prices Nominal'!$B224,'GDP Deflator'!$B$6:$B$91,0)))</f>
        <v>7.5789992674183591</v>
      </c>
      <c r="M224" s="91">
        <f>'IEPR Gas Prices Real'!M226*(INDEX('GDP Deflator'!$D$6:$D$91,MATCH('IEPR Gas Prices Nominal'!$B224,'GDP Deflator'!$B$6:$B$91,0)))</f>
        <v>1.9984867268515101</v>
      </c>
      <c r="N224" s="91">
        <f>'IEPR Gas Prices Real'!N226*(INDEX('GDP Deflator'!$D$6:$D$91,MATCH('IEPR Gas Prices Nominal'!$B224,'GDP Deflator'!$B$6:$B$91,0)))</f>
        <v>9.5774859942698694</v>
      </c>
      <c r="O224" s="19"/>
      <c r="P224" s="229">
        <f t="shared" si="22"/>
        <v>7.2860938587530812</v>
      </c>
      <c r="Q224" s="229">
        <f t="shared" si="26"/>
        <v>10.217124378295418</v>
      </c>
      <c r="R224" s="144"/>
    </row>
    <row r="225" spans="2:18">
      <c r="B225" s="142">
        <f t="shared" si="23"/>
        <v>2040</v>
      </c>
      <c r="C225" s="19">
        <f t="shared" si="24"/>
        <v>4</v>
      </c>
      <c r="D225" s="143">
        <v>51227</v>
      </c>
      <c r="E225" s="19" t="str">
        <f t="shared" si="25"/>
        <v>4-2040</v>
      </c>
      <c r="F225" s="91">
        <f>'IEPR Gas Prices Real'!F227*(INDEX('GDP Deflator'!$D$6:$D$91,MATCH('IEPR Gas Prices Nominal'!$B225,'GDP Deflator'!$B$6:$B$91,0)))</f>
        <v>6.8492535822111273</v>
      </c>
      <c r="G225" s="91">
        <f>'IEPR Gas Prices Real'!G227*(INDEX('GDP Deflator'!$D$6:$D$91,MATCH('IEPR Gas Prices Nominal'!$B225,'GDP Deflator'!$B$6:$B$91,0)))</f>
        <v>2.5628008502774771</v>
      </c>
      <c r="H225" s="91">
        <f>'IEPR Gas Prices Real'!H227*(INDEX('GDP Deflator'!$D$6:$D$91,MATCH('IEPR Gas Prices Nominal'!$B225,'GDP Deflator'!$B$6:$B$91,0)))</f>
        <v>9.4120544324886044</v>
      </c>
      <c r="I225" s="91">
        <f>'IEPR Gas Prices Real'!I227*(INDEX('GDP Deflator'!$D$6:$D$91,MATCH('IEPR Gas Prices Nominal'!$B225,'GDP Deflator'!$B$6:$B$91,0)))</f>
        <v>7.1866598266216855</v>
      </c>
      <c r="J225" s="91">
        <f>'IEPR Gas Prices Real'!J227*(INDEX('GDP Deflator'!$D$6:$D$91,MATCH('IEPR Gas Prices Nominal'!$B225,'GDP Deflator'!$B$6:$B$91,0)))</f>
        <v>4.2318039814980226</v>
      </c>
      <c r="K225" s="91">
        <f>'IEPR Gas Prices Real'!K227*(INDEX('GDP Deflator'!$D$6:$D$91,MATCH('IEPR Gas Prices Nominal'!$B225,'GDP Deflator'!$B$6:$B$91,0)))</f>
        <v>11.418463808119707</v>
      </c>
      <c r="L225" s="91">
        <f>'IEPR Gas Prices Real'!L227*(INDEX('GDP Deflator'!$D$6:$D$91,MATCH('IEPR Gas Prices Nominal'!$B225,'GDP Deflator'!$B$6:$B$91,0)))</f>
        <v>7.4497815756403014</v>
      </c>
      <c r="M225" s="91">
        <f>'IEPR Gas Prices Real'!M227*(INDEX('GDP Deflator'!$D$6:$D$91,MATCH('IEPR Gas Prices Nominal'!$B225,'GDP Deflator'!$B$6:$B$91,0)))</f>
        <v>1.9984867268515101</v>
      </c>
      <c r="N225" s="91">
        <f>'IEPR Gas Prices Real'!N227*(INDEX('GDP Deflator'!$D$6:$D$91,MATCH('IEPR Gas Prices Nominal'!$B225,'GDP Deflator'!$B$6:$B$91,0)))</f>
        <v>9.4482683024918117</v>
      </c>
      <c r="O225" s="19"/>
      <c r="P225" s="229">
        <f t="shared" si="22"/>
        <v>7.1618983281577044</v>
      </c>
      <c r="Q225" s="229">
        <f t="shared" si="26"/>
        <v>10.092928847700042</v>
      </c>
      <c r="R225" s="144"/>
    </row>
    <row r="226" spans="2:18">
      <c r="B226" s="142">
        <f t="shared" si="23"/>
        <v>2040</v>
      </c>
      <c r="C226" s="19">
        <f t="shared" si="24"/>
        <v>5</v>
      </c>
      <c r="D226" s="143">
        <v>51257</v>
      </c>
      <c r="E226" s="19" t="str">
        <f t="shared" si="25"/>
        <v>5-2040</v>
      </c>
      <c r="F226" s="91">
        <f>'IEPR Gas Prices Real'!F228*(INDEX('GDP Deflator'!$D$6:$D$91,MATCH('IEPR Gas Prices Nominal'!$B226,'GDP Deflator'!$B$6:$B$91,0)))</f>
        <v>7.0874728594145857</v>
      </c>
      <c r="G226" s="91">
        <f>'IEPR Gas Prices Real'!G228*(INDEX('GDP Deflator'!$D$6:$D$91,MATCH('IEPR Gas Prices Nominal'!$B226,'GDP Deflator'!$B$6:$B$91,0)))</f>
        <v>2.5628008502774771</v>
      </c>
      <c r="H226" s="91">
        <f>'IEPR Gas Prices Real'!H228*(INDEX('GDP Deflator'!$D$6:$D$91,MATCH('IEPR Gas Prices Nominal'!$B226,'GDP Deflator'!$B$6:$B$91,0)))</f>
        <v>9.6502737096920637</v>
      </c>
      <c r="I226" s="91">
        <f>'IEPR Gas Prices Real'!I228*(INDEX('GDP Deflator'!$D$6:$D$91,MATCH('IEPR Gas Prices Nominal'!$B226,'GDP Deflator'!$B$6:$B$91,0)))</f>
        <v>7.4365173106883784</v>
      </c>
      <c r="J226" s="91">
        <f>'IEPR Gas Prices Real'!J228*(INDEX('GDP Deflator'!$D$6:$D$91,MATCH('IEPR Gas Prices Nominal'!$B226,'GDP Deflator'!$B$6:$B$91,0)))</f>
        <v>4.2318039814980226</v>
      </c>
      <c r="K226" s="91">
        <f>'IEPR Gas Prices Real'!K228*(INDEX('GDP Deflator'!$D$6:$D$91,MATCH('IEPR Gas Prices Nominal'!$B226,'GDP Deflator'!$B$6:$B$91,0)))</f>
        <v>11.6683212921864</v>
      </c>
      <c r="L226" s="91">
        <f>'IEPR Gas Prices Real'!L228*(INDEX('GDP Deflator'!$D$6:$D$91,MATCH('IEPR Gas Prices Nominal'!$B226,'GDP Deflator'!$B$6:$B$91,0)))</f>
        <v>7.7087893693048235</v>
      </c>
      <c r="M226" s="91">
        <f>'IEPR Gas Prices Real'!M228*(INDEX('GDP Deflator'!$D$6:$D$91,MATCH('IEPR Gas Prices Nominal'!$B226,'GDP Deflator'!$B$6:$B$91,0)))</f>
        <v>1.9984867268515101</v>
      </c>
      <c r="N226" s="91">
        <f>'IEPR Gas Prices Real'!N228*(INDEX('GDP Deflator'!$D$6:$D$91,MATCH('IEPR Gas Prices Nominal'!$B226,'GDP Deflator'!$B$6:$B$91,0)))</f>
        <v>9.7072760961563347</v>
      </c>
      <c r="O226" s="19"/>
      <c r="P226" s="229">
        <f t="shared" si="22"/>
        <v>7.4109265131359292</v>
      </c>
      <c r="Q226" s="229">
        <f t="shared" si="26"/>
        <v>10.341957032678266</v>
      </c>
      <c r="R226" s="144"/>
    </row>
    <row r="227" spans="2:18">
      <c r="B227" s="142">
        <f t="shared" si="23"/>
        <v>2040</v>
      </c>
      <c r="C227" s="19">
        <f t="shared" si="24"/>
        <v>6</v>
      </c>
      <c r="D227" s="143">
        <v>51288</v>
      </c>
      <c r="E227" s="19" t="str">
        <f t="shared" si="25"/>
        <v>6-2040</v>
      </c>
      <c r="F227" s="91">
        <f>'IEPR Gas Prices Real'!F229*(INDEX('GDP Deflator'!$D$6:$D$91,MATCH('IEPR Gas Prices Nominal'!$B227,'GDP Deflator'!$B$6:$B$91,0)))</f>
        <v>7.2705406477054826</v>
      </c>
      <c r="G227" s="91">
        <f>'IEPR Gas Prices Real'!G229*(INDEX('GDP Deflator'!$D$6:$D$91,MATCH('IEPR Gas Prices Nominal'!$B227,'GDP Deflator'!$B$6:$B$91,0)))</f>
        <v>2.5628008502774771</v>
      </c>
      <c r="H227" s="91">
        <f>'IEPR Gas Prices Real'!H229*(INDEX('GDP Deflator'!$D$6:$D$91,MATCH('IEPR Gas Prices Nominal'!$B227,'GDP Deflator'!$B$6:$B$91,0)))</f>
        <v>9.8333414979829588</v>
      </c>
      <c r="I227" s="91">
        <f>'IEPR Gas Prices Real'!I229*(INDEX('GDP Deflator'!$D$6:$D$91,MATCH('IEPR Gas Prices Nominal'!$B227,'GDP Deflator'!$B$6:$B$91,0)))</f>
        <v>7.6285014287279989</v>
      </c>
      <c r="J227" s="91">
        <f>'IEPR Gas Prices Real'!J229*(INDEX('GDP Deflator'!$D$6:$D$91,MATCH('IEPR Gas Prices Nominal'!$B227,'GDP Deflator'!$B$6:$B$91,0)))</f>
        <v>4.2318039814980226</v>
      </c>
      <c r="K227" s="91">
        <f>'IEPR Gas Prices Real'!K229*(INDEX('GDP Deflator'!$D$6:$D$91,MATCH('IEPR Gas Prices Nominal'!$B227,'GDP Deflator'!$B$6:$B$91,0)))</f>
        <v>11.860305410226022</v>
      </c>
      <c r="L227" s="91">
        <f>'IEPR Gas Prices Real'!L229*(INDEX('GDP Deflator'!$D$6:$D$91,MATCH('IEPR Gas Prices Nominal'!$B227,'GDP Deflator'!$B$6:$B$91,0)))</f>
        <v>7.9078050311146999</v>
      </c>
      <c r="M227" s="91">
        <f>'IEPR Gas Prices Real'!M229*(INDEX('GDP Deflator'!$D$6:$D$91,MATCH('IEPR Gas Prices Nominal'!$B227,'GDP Deflator'!$B$6:$B$91,0)))</f>
        <v>1.9984867268515101</v>
      </c>
      <c r="N227" s="91">
        <f>'IEPR Gas Prices Real'!N229*(INDEX('GDP Deflator'!$D$6:$D$91,MATCH('IEPR Gas Prices Nominal'!$B227,'GDP Deflator'!$B$6:$B$91,0)))</f>
        <v>9.9062917579662102</v>
      </c>
      <c r="O227" s="19"/>
      <c r="P227" s="229">
        <f t="shared" si="22"/>
        <v>7.6022823691827268</v>
      </c>
      <c r="Q227" s="229">
        <f t="shared" si="26"/>
        <v>10.533312888725064</v>
      </c>
      <c r="R227" s="144"/>
    </row>
    <row r="228" spans="2:18">
      <c r="B228" s="142">
        <f t="shared" si="23"/>
        <v>2040</v>
      </c>
      <c r="C228" s="19">
        <f t="shared" si="24"/>
        <v>7</v>
      </c>
      <c r="D228" s="143">
        <v>51318</v>
      </c>
      <c r="E228" s="19" t="str">
        <f t="shared" si="25"/>
        <v>7-2040</v>
      </c>
      <c r="F228" s="91">
        <f>'IEPR Gas Prices Real'!F230*(INDEX('GDP Deflator'!$D$6:$D$91,MATCH('IEPR Gas Prices Nominal'!$B228,'GDP Deflator'!$B$6:$B$91,0)))</f>
        <v>7.3280621126926277</v>
      </c>
      <c r="G228" s="91">
        <f>'IEPR Gas Prices Real'!G230*(INDEX('GDP Deflator'!$D$6:$D$91,MATCH('IEPR Gas Prices Nominal'!$B228,'GDP Deflator'!$B$6:$B$91,0)))</f>
        <v>2.5628008502774771</v>
      </c>
      <c r="H228" s="91">
        <f>'IEPR Gas Prices Real'!H230*(INDEX('GDP Deflator'!$D$6:$D$91,MATCH('IEPR Gas Prices Nominal'!$B228,'GDP Deflator'!$B$6:$B$91,0)))</f>
        <v>9.8908629629701057</v>
      </c>
      <c r="I228" s="91">
        <f>'IEPR Gas Prices Real'!I230*(INDEX('GDP Deflator'!$D$6:$D$91,MATCH('IEPR Gas Prices Nominal'!$B228,'GDP Deflator'!$B$6:$B$91,0)))</f>
        <v>7.6887547220550942</v>
      </c>
      <c r="J228" s="91">
        <f>'IEPR Gas Prices Real'!J230*(INDEX('GDP Deflator'!$D$6:$D$91,MATCH('IEPR Gas Prices Nominal'!$B228,'GDP Deflator'!$B$6:$B$91,0)))</f>
        <v>4.2318039814980226</v>
      </c>
      <c r="K228" s="91">
        <f>'IEPR Gas Prices Real'!K230*(INDEX('GDP Deflator'!$D$6:$D$91,MATCH('IEPR Gas Prices Nominal'!$B228,'GDP Deflator'!$B$6:$B$91,0)))</f>
        <v>11.920558703553116</v>
      </c>
      <c r="L228" s="91">
        <f>'IEPR Gas Prices Real'!L230*(INDEX('GDP Deflator'!$D$6:$D$91,MATCH('IEPR Gas Prices Nominal'!$B228,'GDP Deflator'!$B$6:$B$91,0)))</f>
        <v>7.9702668671150825</v>
      </c>
      <c r="M228" s="91">
        <f>'IEPR Gas Prices Real'!M230*(INDEX('GDP Deflator'!$D$6:$D$91,MATCH('IEPR Gas Prices Nominal'!$B228,'GDP Deflator'!$B$6:$B$91,0)))</f>
        <v>1.9984867268515101</v>
      </c>
      <c r="N228" s="91">
        <f>'IEPR Gas Prices Real'!N230*(INDEX('GDP Deflator'!$D$6:$D$91,MATCH('IEPR Gas Prices Nominal'!$B228,'GDP Deflator'!$B$6:$B$91,0)))</f>
        <v>9.9687535939665928</v>
      </c>
      <c r="O228" s="19"/>
      <c r="P228" s="229">
        <f t="shared" si="22"/>
        <v>7.6623612339542682</v>
      </c>
      <c r="Q228" s="229">
        <f t="shared" si="26"/>
        <v>10.593391753496606</v>
      </c>
      <c r="R228" s="144"/>
    </row>
    <row r="229" spans="2:18">
      <c r="B229" s="142">
        <f t="shared" si="23"/>
        <v>2040</v>
      </c>
      <c r="C229" s="19">
        <f t="shared" si="24"/>
        <v>8</v>
      </c>
      <c r="D229" s="143">
        <v>51349</v>
      </c>
      <c r="E229" s="19" t="str">
        <f t="shared" si="25"/>
        <v>8-2040</v>
      </c>
      <c r="F229" s="91">
        <f>'IEPR Gas Prices Real'!F231*(INDEX('GDP Deflator'!$D$6:$D$91,MATCH('IEPR Gas Prices Nominal'!$B229,'GDP Deflator'!$B$6:$B$91,0)))</f>
        <v>7.271301933799668</v>
      </c>
      <c r="G229" s="91">
        <f>'IEPR Gas Prices Real'!G231*(INDEX('GDP Deflator'!$D$6:$D$91,MATCH('IEPR Gas Prices Nominal'!$B229,'GDP Deflator'!$B$6:$B$91,0)))</f>
        <v>2.5628008502774771</v>
      </c>
      <c r="H229" s="91">
        <f>'IEPR Gas Prices Real'!H231*(INDEX('GDP Deflator'!$D$6:$D$91,MATCH('IEPR Gas Prices Nominal'!$B229,'GDP Deflator'!$B$6:$B$91,0)))</f>
        <v>9.834102784077146</v>
      </c>
      <c r="I229" s="91">
        <f>'IEPR Gas Prices Real'!I231*(INDEX('GDP Deflator'!$D$6:$D$91,MATCH('IEPR Gas Prices Nominal'!$B229,'GDP Deflator'!$B$6:$B$91,0)))</f>
        <v>7.6291013218667603</v>
      </c>
      <c r="J229" s="91">
        <f>'IEPR Gas Prices Real'!J231*(INDEX('GDP Deflator'!$D$6:$D$91,MATCH('IEPR Gas Prices Nominal'!$B229,'GDP Deflator'!$B$6:$B$91,0)))</f>
        <v>4.2318039814980226</v>
      </c>
      <c r="K229" s="91">
        <f>'IEPR Gas Prices Real'!K231*(INDEX('GDP Deflator'!$D$6:$D$91,MATCH('IEPR Gas Prices Nominal'!$B229,'GDP Deflator'!$B$6:$B$91,0)))</f>
        <v>11.860905303364783</v>
      </c>
      <c r="L229" s="91">
        <f>'IEPR Gas Prices Real'!L231*(INDEX('GDP Deflator'!$D$6:$D$91,MATCH('IEPR Gas Prices Nominal'!$B229,'GDP Deflator'!$B$6:$B$91,0)))</f>
        <v>7.908431807631283</v>
      </c>
      <c r="M229" s="91">
        <f>'IEPR Gas Prices Real'!M231*(INDEX('GDP Deflator'!$D$6:$D$91,MATCH('IEPR Gas Prices Nominal'!$B229,'GDP Deflator'!$B$6:$B$91,0)))</f>
        <v>1.9984867268515101</v>
      </c>
      <c r="N229" s="91">
        <f>'IEPR Gas Prices Real'!N231*(INDEX('GDP Deflator'!$D$6:$D$91,MATCH('IEPR Gas Prices Nominal'!$B229,'GDP Deflator'!$B$6:$B$91,0)))</f>
        <v>9.9069185344827932</v>
      </c>
      <c r="O229" s="19"/>
      <c r="P229" s="229">
        <f t="shared" si="22"/>
        <v>7.602945021099238</v>
      </c>
      <c r="Q229" s="229">
        <f t="shared" si="26"/>
        <v>10.533975540641572</v>
      </c>
      <c r="R229" s="144"/>
    </row>
    <row r="230" spans="2:18">
      <c r="B230" s="142">
        <f t="shared" si="23"/>
        <v>2040</v>
      </c>
      <c r="C230" s="19">
        <f t="shared" si="24"/>
        <v>9</v>
      </c>
      <c r="D230" s="143">
        <v>51380</v>
      </c>
      <c r="E230" s="19" t="str">
        <f t="shared" si="25"/>
        <v>9-2040</v>
      </c>
      <c r="F230" s="91">
        <f>'IEPR Gas Prices Real'!F232*(INDEX('GDP Deflator'!$D$6:$D$91,MATCH('IEPR Gas Prices Nominal'!$B230,'GDP Deflator'!$B$6:$B$91,0)))</f>
        <v>7.3734193906171921</v>
      </c>
      <c r="G230" s="91">
        <f>'IEPR Gas Prices Real'!G232*(INDEX('GDP Deflator'!$D$6:$D$91,MATCH('IEPR Gas Prices Nominal'!$B230,'GDP Deflator'!$B$6:$B$91,0)))</f>
        <v>2.5628008502774771</v>
      </c>
      <c r="H230" s="91">
        <f>'IEPR Gas Prices Real'!H232*(INDEX('GDP Deflator'!$D$6:$D$91,MATCH('IEPR Gas Prices Nominal'!$B230,'GDP Deflator'!$B$6:$B$91,0)))</f>
        <v>9.93622024089467</v>
      </c>
      <c r="I230" s="91">
        <f>'IEPR Gas Prices Real'!I232*(INDEX('GDP Deflator'!$D$6:$D$91,MATCH('IEPR Gas Prices Nominal'!$B230,'GDP Deflator'!$B$6:$B$91,0)))</f>
        <v>7.7361428255727098</v>
      </c>
      <c r="J230" s="91">
        <f>'IEPR Gas Prices Real'!J232*(INDEX('GDP Deflator'!$D$6:$D$91,MATCH('IEPR Gas Prices Nominal'!$B230,'GDP Deflator'!$B$6:$B$91,0)))</f>
        <v>4.2318039814980226</v>
      </c>
      <c r="K230" s="91">
        <f>'IEPR Gas Prices Real'!K232*(INDEX('GDP Deflator'!$D$6:$D$91,MATCH('IEPR Gas Prices Nominal'!$B230,'GDP Deflator'!$B$6:$B$91,0)))</f>
        <v>11.967946807070733</v>
      </c>
      <c r="L230" s="91">
        <f>'IEPR Gas Prices Real'!L232*(INDEX('GDP Deflator'!$D$6:$D$91,MATCH('IEPR Gas Prices Nominal'!$B230,'GDP Deflator'!$B$6:$B$91,0)))</f>
        <v>8.0193950036681354</v>
      </c>
      <c r="M230" s="91">
        <f>'IEPR Gas Prices Real'!M232*(INDEX('GDP Deflator'!$D$6:$D$91,MATCH('IEPR Gas Prices Nominal'!$B230,'GDP Deflator'!$B$6:$B$91,0)))</f>
        <v>1.9984867268515101</v>
      </c>
      <c r="N230" s="91">
        <f>'IEPR Gas Prices Real'!N232*(INDEX('GDP Deflator'!$D$6:$D$91,MATCH('IEPR Gas Prices Nominal'!$B230,'GDP Deflator'!$B$6:$B$91,0)))</f>
        <v>10.017881730519646</v>
      </c>
      <c r="O230" s="19"/>
      <c r="P230" s="229">
        <f t="shared" si="22"/>
        <v>7.7096524066193455</v>
      </c>
      <c r="Q230" s="229">
        <f t="shared" si="26"/>
        <v>10.640682926161682</v>
      </c>
      <c r="R230" s="144"/>
    </row>
    <row r="231" spans="2:18">
      <c r="B231" s="142">
        <f t="shared" si="23"/>
        <v>2040</v>
      </c>
      <c r="C231" s="19">
        <f t="shared" si="24"/>
        <v>10</v>
      </c>
      <c r="D231" s="143">
        <v>51410</v>
      </c>
      <c r="E231" s="19" t="str">
        <f t="shared" si="25"/>
        <v>10-2040</v>
      </c>
      <c r="F231" s="91">
        <f>'IEPR Gas Prices Real'!F233*(INDEX('GDP Deflator'!$D$6:$D$91,MATCH('IEPR Gas Prices Nominal'!$B231,'GDP Deflator'!$B$6:$B$91,0)))</f>
        <v>7.33077116247647</v>
      </c>
      <c r="G231" s="91">
        <f>'IEPR Gas Prices Real'!G233*(INDEX('GDP Deflator'!$D$6:$D$91,MATCH('IEPR Gas Prices Nominal'!$B231,'GDP Deflator'!$B$6:$B$91,0)))</f>
        <v>2.5628008502774771</v>
      </c>
      <c r="H231" s="91">
        <f>'IEPR Gas Prices Real'!H233*(INDEX('GDP Deflator'!$D$6:$D$91,MATCH('IEPR Gas Prices Nominal'!$B231,'GDP Deflator'!$B$6:$B$91,0)))</f>
        <v>9.8935720127539462</v>
      </c>
      <c r="I231" s="91">
        <f>'IEPR Gas Prices Real'!I233*(INDEX('GDP Deflator'!$D$6:$D$91,MATCH('IEPR Gas Prices Nominal'!$B231,'GDP Deflator'!$B$6:$B$91,0)))</f>
        <v>7.691296304570244</v>
      </c>
      <c r="J231" s="91">
        <f>'IEPR Gas Prices Real'!J233*(INDEX('GDP Deflator'!$D$6:$D$91,MATCH('IEPR Gas Prices Nominal'!$B231,'GDP Deflator'!$B$6:$B$91,0)))</f>
        <v>4.2318039814980226</v>
      </c>
      <c r="K231" s="91">
        <f>'IEPR Gas Prices Real'!K233*(INDEX('GDP Deflator'!$D$6:$D$91,MATCH('IEPR Gas Prices Nominal'!$B231,'GDP Deflator'!$B$6:$B$91,0)))</f>
        <v>11.923100286068268</v>
      </c>
      <c r="L231" s="91">
        <f>'IEPR Gas Prices Real'!L233*(INDEX('GDP Deflator'!$D$6:$D$91,MATCH('IEPR Gas Prices Nominal'!$B231,'GDP Deflator'!$B$6:$B$91,0)))</f>
        <v>7.9729089467855498</v>
      </c>
      <c r="M231" s="91">
        <f>'IEPR Gas Prices Real'!M233*(INDEX('GDP Deflator'!$D$6:$D$91,MATCH('IEPR Gas Prices Nominal'!$B231,'GDP Deflator'!$B$6:$B$91,0)))</f>
        <v>1.9984867268515101</v>
      </c>
      <c r="N231" s="91">
        <f>'IEPR Gas Prices Real'!N233*(INDEX('GDP Deflator'!$D$6:$D$91,MATCH('IEPR Gas Prices Nominal'!$B231,'GDP Deflator'!$B$6:$B$91,0)))</f>
        <v>9.9713956736370601</v>
      </c>
      <c r="O231" s="19"/>
      <c r="P231" s="229">
        <f t="shared" si="22"/>
        <v>7.6649921379440871</v>
      </c>
      <c r="Q231" s="229">
        <f t="shared" si="26"/>
        <v>10.596022657486424</v>
      </c>
      <c r="R231" s="144"/>
    </row>
    <row r="232" spans="2:18">
      <c r="B232" s="142">
        <f t="shared" si="23"/>
        <v>2040</v>
      </c>
      <c r="C232" s="19">
        <f t="shared" si="24"/>
        <v>11</v>
      </c>
      <c r="D232" s="143">
        <v>51441</v>
      </c>
      <c r="E232" s="19" t="str">
        <f t="shared" si="25"/>
        <v>11-2040</v>
      </c>
      <c r="F232" s="91">
        <f>'IEPR Gas Prices Real'!F234*(INDEX('GDP Deflator'!$D$6:$D$91,MATCH('IEPR Gas Prices Nominal'!$B232,'GDP Deflator'!$B$6:$B$91,0)))</f>
        <v>7.6929413266657152</v>
      </c>
      <c r="G232" s="91">
        <f>'IEPR Gas Prices Real'!G234*(INDEX('GDP Deflator'!$D$6:$D$91,MATCH('IEPR Gas Prices Nominal'!$B232,'GDP Deflator'!$B$6:$B$91,0)))</f>
        <v>2.5628008502774771</v>
      </c>
      <c r="H232" s="91">
        <f>'IEPR Gas Prices Real'!H234*(INDEX('GDP Deflator'!$D$6:$D$91,MATCH('IEPR Gas Prices Nominal'!$B232,'GDP Deflator'!$B$6:$B$91,0)))</f>
        <v>10.255742176943192</v>
      </c>
      <c r="I232" s="91">
        <f>'IEPR Gas Prices Real'!I234*(INDEX('GDP Deflator'!$D$6:$D$91,MATCH('IEPR Gas Prices Nominal'!$B232,'GDP Deflator'!$B$6:$B$91,0)))</f>
        <v>8.0711726395400731</v>
      </c>
      <c r="J232" s="91">
        <f>'IEPR Gas Prices Real'!J234*(INDEX('GDP Deflator'!$D$6:$D$91,MATCH('IEPR Gas Prices Nominal'!$B232,'GDP Deflator'!$B$6:$B$91,0)))</f>
        <v>4.2318039814980226</v>
      </c>
      <c r="K232" s="91">
        <f>'IEPR Gas Prices Real'!K234*(INDEX('GDP Deflator'!$D$6:$D$91,MATCH('IEPR Gas Prices Nominal'!$B232,'GDP Deflator'!$B$6:$B$91,0)))</f>
        <v>12.302976621038097</v>
      </c>
      <c r="L232" s="91">
        <f>'IEPR Gas Prices Real'!L234*(INDEX('GDP Deflator'!$D$6:$D$91,MATCH('IEPR Gas Prices Nominal'!$B232,'GDP Deflator'!$B$6:$B$91,0)))</f>
        <v>8.3666968513215476</v>
      </c>
      <c r="M232" s="91">
        <f>'IEPR Gas Prices Real'!M234*(INDEX('GDP Deflator'!$D$6:$D$91,MATCH('IEPR Gas Prices Nominal'!$B232,'GDP Deflator'!$B$6:$B$91,0)))</f>
        <v>1.9984867268515101</v>
      </c>
      <c r="N232" s="91">
        <f>'IEPR Gas Prices Real'!N234*(INDEX('GDP Deflator'!$D$6:$D$91,MATCH('IEPR Gas Prices Nominal'!$B232,'GDP Deflator'!$B$6:$B$91,0)))</f>
        <v>10.365183578173058</v>
      </c>
      <c r="O232" s="19"/>
      <c r="P232" s="229">
        <f t="shared" si="22"/>
        <v>8.0436036058424438</v>
      </c>
      <c r="Q232" s="229">
        <f t="shared" si="26"/>
        <v>10.974634125384782</v>
      </c>
      <c r="R232" s="144"/>
    </row>
    <row r="233" spans="2:18">
      <c r="B233" s="142">
        <f t="shared" si="23"/>
        <v>2040</v>
      </c>
      <c r="C233" s="19">
        <f t="shared" si="24"/>
        <v>12</v>
      </c>
      <c r="D233" s="143">
        <v>51471</v>
      </c>
      <c r="E233" s="19" t="str">
        <f t="shared" si="25"/>
        <v>12-2040</v>
      </c>
      <c r="F233" s="91">
        <f>'IEPR Gas Prices Real'!F235*(INDEX('GDP Deflator'!$D$6:$D$91,MATCH('IEPR Gas Prices Nominal'!$B233,'GDP Deflator'!$B$6:$B$91,0)))</f>
        <v>7.7546512293035095</v>
      </c>
      <c r="G233" s="91">
        <f>'IEPR Gas Prices Real'!G235*(INDEX('GDP Deflator'!$D$6:$D$91,MATCH('IEPR Gas Prices Nominal'!$B233,'GDP Deflator'!$B$6:$B$91,0)))</f>
        <v>2.5628008502774771</v>
      </c>
      <c r="H233" s="91">
        <f>'IEPR Gas Prices Real'!H235*(INDEX('GDP Deflator'!$D$6:$D$91,MATCH('IEPR Gas Prices Nominal'!$B233,'GDP Deflator'!$B$6:$B$91,0)))</f>
        <v>10.317452079580987</v>
      </c>
      <c r="I233" s="91">
        <f>'IEPR Gas Prices Real'!I235*(INDEX('GDP Deflator'!$D$6:$D$91,MATCH('IEPR Gas Prices Nominal'!$B233,'GDP Deflator'!$B$6:$B$91,0)))</f>
        <v>8.1358104647720051</v>
      </c>
      <c r="J233" s="91">
        <f>'IEPR Gas Prices Real'!J235*(INDEX('GDP Deflator'!$D$6:$D$91,MATCH('IEPR Gas Prices Nominal'!$B233,'GDP Deflator'!$B$6:$B$91,0)))</f>
        <v>4.2318039814980226</v>
      </c>
      <c r="K233" s="91">
        <f>'IEPR Gas Prices Real'!K235*(INDEX('GDP Deflator'!$D$6:$D$91,MATCH('IEPR Gas Prices Nominal'!$B233,'GDP Deflator'!$B$6:$B$91,0)))</f>
        <v>12.367614446270027</v>
      </c>
      <c r="L233" s="91">
        <f>'IEPR Gas Prices Real'!L235*(INDEX('GDP Deflator'!$D$6:$D$91,MATCH('IEPR Gas Prices Nominal'!$B233,'GDP Deflator'!$B$6:$B$91,0)))</f>
        <v>8.4337040011836084</v>
      </c>
      <c r="M233" s="91">
        <f>'IEPR Gas Prices Real'!M235*(INDEX('GDP Deflator'!$D$6:$D$91,MATCH('IEPR Gas Prices Nominal'!$B233,'GDP Deflator'!$B$6:$B$91,0)))</f>
        <v>1.9984867268515101</v>
      </c>
      <c r="N233" s="91">
        <f>'IEPR Gas Prices Real'!N235*(INDEX('GDP Deflator'!$D$6:$D$91,MATCH('IEPR Gas Prices Nominal'!$B233,'GDP Deflator'!$B$6:$B$91,0)))</f>
        <v>10.432190728035119</v>
      </c>
      <c r="O233" s="19"/>
      <c r="P233" s="229">
        <f t="shared" si="22"/>
        <v>8.1080552317530419</v>
      </c>
      <c r="Q233" s="229">
        <f t="shared" si="26"/>
        <v>11.039085751295376</v>
      </c>
      <c r="R233" s="144"/>
    </row>
    <row r="234" spans="2:18">
      <c r="B234" s="142">
        <f t="shared" si="23"/>
        <v>2041</v>
      </c>
      <c r="C234" s="19">
        <f t="shared" si="24"/>
        <v>1</v>
      </c>
      <c r="D234" s="143">
        <v>51502</v>
      </c>
      <c r="E234" s="19" t="str">
        <f t="shared" si="25"/>
        <v>1-2041</v>
      </c>
      <c r="F234" s="91">
        <f>'IEPR Gas Prices Real'!F236*(INDEX('GDP Deflator'!$D$6:$D$91,MATCH('IEPR Gas Prices Nominal'!$B234,'GDP Deflator'!$B$6:$B$91,0)))</f>
        <v>7.9315699896001588</v>
      </c>
      <c r="G234" s="91">
        <f>'IEPR Gas Prices Real'!G236*(INDEX('GDP Deflator'!$D$6:$D$91,MATCH('IEPR Gas Prices Nominal'!$B234,'GDP Deflator'!$B$6:$B$91,0)))</f>
        <v>2.7260064448903734</v>
      </c>
      <c r="H234" s="91">
        <f>'IEPR Gas Prices Real'!H236*(INDEX('GDP Deflator'!$D$6:$D$91,MATCH('IEPR Gas Prices Nominal'!$B234,'GDP Deflator'!$B$6:$B$91,0)))</f>
        <v>10.657576434490531</v>
      </c>
      <c r="I234" s="91">
        <f>'IEPR Gas Prices Real'!I236*(INDEX('GDP Deflator'!$D$6:$D$91,MATCH('IEPR Gas Prices Nominal'!$B234,'GDP Deflator'!$B$6:$B$91,0)))</f>
        <v>8.3213230522417501</v>
      </c>
      <c r="J234" s="91">
        <f>'IEPR Gas Prices Real'!J236*(INDEX('GDP Deflator'!$D$6:$D$91,MATCH('IEPR Gas Prices Nominal'!$B234,'GDP Deflator'!$B$6:$B$91,0)))</f>
        <v>4.5012958872037743</v>
      </c>
      <c r="K234" s="91">
        <f>'IEPR Gas Prices Real'!K236*(INDEX('GDP Deflator'!$D$6:$D$91,MATCH('IEPR Gas Prices Nominal'!$B234,'GDP Deflator'!$B$6:$B$91,0)))</f>
        <v>12.822618939445524</v>
      </c>
      <c r="L234" s="91">
        <f>'IEPR Gas Prices Real'!L236*(INDEX('GDP Deflator'!$D$6:$D$91,MATCH('IEPR Gas Prices Nominal'!$B234,'GDP Deflator'!$B$6:$B$91,0)))</f>
        <v>8.62601303983927</v>
      </c>
      <c r="M234" s="91">
        <f>'IEPR Gas Prices Real'!M236*(INDEX('GDP Deflator'!$D$6:$D$91,MATCH('IEPR Gas Prices Nominal'!$B234,'GDP Deflator'!$B$6:$B$91,0)))</f>
        <v>2.1257553808112846</v>
      </c>
      <c r="N234" s="91">
        <f>'IEPR Gas Prices Real'!N236*(INDEX('GDP Deflator'!$D$6:$D$91,MATCH('IEPR Gas Prices Nominal'!$B234,'GDP Deflator'!$B$6:$B$91,0)))</f>
        <v>10.751768420650555</v>
      </c>
      <c r="O234" s="19"/>
      <c r="P234" s="229">
        <f t="shared" si="22"/>
        <v>8.2929686938937266</v>
      </c>
      <c r="Q234" s="229">
        <f t="shared" si="26"/>
        <v>11.410654598195537</v>
      </c>
      <c r="R234" s="144"/>
    </row>
    <row r="235" spans="2:18">
      <c r="B235" s="142">
        <f t="shared" si="23"/>
        <v>2041</v>
      </c>
      <c r="C235" s="19">
        <f t="shared" si="24"/>
        <v>2</v>
      </c>
      <c r="D235" s="143">
        <v>51533</v>
      </c>
      <c r="E235" s="19" t="str">
        <f t="shared" si="25"/>
        <v>2-2041</v>
      </c>
      <c r="F235" s="91">
        <f>'IEPR Gas Prices Real'!F237*(INDEX('GDP Deflator'!$D$6:$D$91,MATCH('IEPR Gas Prices Nominal'!$B235,'GDP Deflator'!$B$6:$B$91,0)))</f>
        <v>7.7575421254487269</v>
      </c>
      <c r="G235" s="91">
        <f>'IEPR Gas Prices Real'!G237*(INDEX('GDP Deflator'!$D$6:$D$91,MATCH('IEPR Gas Prices Nominal'!$B235,'GDP Deflator'!$B$6:$B$91,0)))</f>
        <v>2.7260064448903734</v>
      </c>
      <c r="H235" s="91">
        <f>'IEPR Gas Prices Real'!H237*(INDEX('GDP Deflator'!$D$6:$D$91,MATCH('IEPR Gas Prices Nominal'!$B235,'GDP Deflator'!$B$6:$B$91,0)))</f>
        <v>10.483548570339101</v>
      </c>
      <c r="I235" s="91">
        <f>'IEPR Gas Prices Real'!I237*(INDEX('GDP Deflator'!$D$6:$D$91,MATCH('IEPR Gas Prices Nominal'!$B235,'GDP Deflator'!$B$6:$B$91,0)))</f>
        <v>8.1386436389621899</v>
      </c>
      <c r="J235" s="91">
        <f>'IEPR Gas Prices Real'!J237*(INDEX('GDP Deflator'!$D$6:$D$91,MATCH('IEPR Gas Prices Nominal'!$B235,'GDP Deflator'!$B$6:$B$91,0)))</f>
        <v>4.5012958872037743</v>
      </c>
      <c r="K235" s="91">
        <f>'IEPR Gas Prices Real'!K237*(INDEX('GDP Deflator'!$D$6:$D$91,MATCH('IEPR Gas Prices Nominal'!$B235,'GDP Deflator'!$B$6:$B$91,0)))</f>
        <v>12.639939526165966</v>
      </c>
      <c r="L235" s="91">
        <f>'IEPR Gas Prices Real'!L237*(INDEX('GDP Deflator'!$D$6:$D$91,MATCH('IEPR Gas Prices Nominal'!$B235,'GDP Deflator'!$B$6:$B$91,0)))</f>
        <v>8.4366485195892302</v>
      </c>
      <c r="M235" s="91">
        <f>'IEPR Gas Prices Real'!M237*(INDEX('GDP Deflator'!$D$6:$D$91,MATCH('IEPR Gas Prices Nominal'!$B235,'GDP Deflator'!$B$6:$B$91,0)))</f>
        <v>2.1257553808112846</v>
      </c>
      <c r="N235" s="91">
        <f>'IEPR Gas Prices Real'!N237*(INDEX('GDP Deflator'!$D$6:$D$91,MATCH('IEPR Gas Prices Nominal'!$B235,'GDP Deflator'!$B$6:$B$91,0)))</f>
        <v>10.562403900400515</v>
      </c>
      <c r="O235" s="19"/>
      <c r="P235" s="229">
        <f t="shared" si="22"/>
        <v>8.110944761333382</v>
      </c>
      <c r="Q235" s="229">
        <f t="shared" si="26"/>
        <v>11.228630665635194</v>
      </c>
      <c r="R235" s="144"/>
    </row>
    <row r="236" spans="2:18">
      <c r="B236" s="142">
        <f t="shared" si="23"/>
        <v>2041</v>
      </c>
      <c r="C236" s="19">
        <f t="shared" si="24"/>
        <v>3</v>
      </c>
      <c r="D236" s="143">
        <v>51561</v>
      </c>
      <c r="E236" s="19" t="str">
        <f t="shared" si="25"/>
        <v>3-2041</v>
      </c>
      <c r="F236" s="91">
        <f>'IEPR Gas Prices Real'!F238*(INDEX('GDP Deflator'!$D$6:$D$91,MATCH('IEPR Gas Prices Nominal'!$B236,'GDP Deflator'!$B$6:$B$91,0)))</f>
        <v>7.121326503097583</v>
      </c>
      <c r="G236" s="91">
        <f>'IEPR Gas Prices Real'!G238*(INDEX('GDP Deflator'!$D$6:$D$91,MATCH('IEPR Gas Prices Nominal'!$B236,'GDP Deflator'!$B$6:$B$91,0)))</f>
        <v>2.7260064448903734</v>
      </c>
      <c r="H236" s="91">
        <f>'IEPR Gas Prices Real'!H238*(INDEX('GDP Deflator'!$D$6:$D$91,MATCH('IEPR Gas Prices Nominal'!$B236,'GDP Deflator'!$B$6:$B$91,0)))</f>
        <v>9.8473329479879563</v>
      </c>
      <c r="I236" s="91">
        <f>'IEPR Gas Prices Real'!I238*(INDEX('GDP Deflator'!$D$6:$D$91,MATCH('IEPR Gas Prices Nominal'!$B236,'GDP Deflator'!$B$6:$B$91,0)))</f>
        <v>7.4710811885587001</v>
      </c>
      <c r="J236" s="91">
        <f>'IEPR Gas Prices Real'!J238*(INDEX('GDP Deflator'!$D$6:$D$91,MATCH('IEPR Gas Prices Nominal'!$B236,'GDP Deflator'!$B$6:$B$91,0)))</f>
        <v>4.5012958872037743</v>
      </c>
      <c r="K236" s="91">
        <f>'IEPR Gas Prices Real'!K238*(INDEX('GDP Deflator'!$D$6:$D$91,MATCH('IEPR Gas Prices Nominal'!$B236,'GDP Deflator'!$B$6:$B$91,0)))</f>
        <v>11.972377075762475</v>
      </c>
      <c r="L236" s="91">
        <f>'IEPR Gas Prices Real'!L238*(INDEX('GDP Deflator'!$D$6:$D$91,MATCH('IEPR Gas Prices Nominal'!$B236,'GDP Deflator'!$B$6:$B$91,0)))</f>
        <v>7.7446460698482946</v>
      </c>
      <c r="M236" s="91">
        <f>'IEPR Gas Prices Real'!M238*(INDEX('GDP Deflator'!$D$6:$D$91,MATCH('IEPR Gas Prices Nominal'!$B236,'GDP Deflator'!$B$6:$B$91,0)))</f>
        <v>2.1257553808112846</v>
      </c>
      <c r="N236" s="91">
        <f>'IEPR Gas Prices Real'!N238*(INDEX('GDP Deflator'!$D$6:$D$91,MATCH('IEPR Gas Prices Nominal'!$B236,'GDP Deflator'!$B$6:$B$91,0)))</f>
        <v>9.8704014506595783</v>
      </c>
      <c r="O236" s="19"/>
      <c r="P236" s="229">
        <f t="shared" si="22"/>
        <v>7.4456845871681923</v>
      </c>
      <c r="Q236" s="229">
        <f t="shared" si="26"/>
        <v>10.563370491470003</v>
      </c>
      <c r="R236" s="144"/>
    </row>
    <row r="237" spans="2:18">
      <c r="B237" s="142">
        <f t="shared" si="23"/>
        <v>2041</v>
      </c>
      <c r="C237" s="19">
        <f t="shared" si="24"/>
        <v>4</v>
      </c>
      <c r="D237" s="143">
        <v>51592</v>
      </c>
      <c r="E237" s="19" t="str">
        <f t="shared" si="25"/>
        <v>4-2041</v>
      </c>
      <c r="F237" s="91">
        <f>'IEPR Gas Prices Real'!F239*(INDEX('GDP Deflator'!$D$6:$D$91,MATCH('IEPR Gas Prices Nominal'!$B237,'GDP Deflator'!$B$6:$B$91,0)))</f>
        <v>7.0000380329949499</v>
      </c>
      <c r="G237" s="91">
        <f>'IEPR Gas Prices Real'!G239*(INDEX('GDP Deflator'!$D$6:$D$91,MATCH('IEPR Gas Prices Nominal'!$B237,'GDP Deflator'!$B$6:$B$91,0)))</f>
        <v>2.7260064448903734</v>
      </c>
      <c r="H237" s="91">
        <f>'IEPR Gas Prices Real'!H239*(INDEX('GDP Deflator'!$D$6:$D$91,MATCH('IEPR Gas Prices Nominal'!$B237,'GDP Deflator'!$B$6:$B$91,0)))</f>
        <v>9.7260444778853241</v>
      </c>
      <c r="I237" s="91">
        <f>'IEPR Gas Prices Real'!I239*(INDEX('GDP Deflator'!$D$6:$D$91,MATCH('IEPR Gas Prices Nominal'!$B237,'GDP Deflator'!$B$6:$B$91,0)))</f>
        <v>7.3437456144896194</v>
      </c>
      <c r="J237" s="91">
        <f>'IEPR Gas Prices Real'!J239*(INDEX('GDP Deflator'!$D$6:$D$91,MATCH('IEPR Gas Prices Nominal'!$B237,'GDP Deflator'!$B$6:$B$91,0)))</f>
        <v>4.5012958872037743</v>
      </c>
      <c r="K237" s="91">
        <f>'IEPR Gas Prices Real'!K239*(INDEX('GDP Deflator'!$D$6:$D$91,MATCH('IEPR Gas Prices Nominal'!$B237,'GDP Deflator'!$B$6:$B$91,0)))</f>
        <v>11.845041501693395</v>
      </c>
      <c r="L237" s="91">
        <f>'IEPR Gas Prices Real'!L239*(INDEX('GDP Deflator'!$D$6:$D$91,MATCH('IEPR Gas Prices Nominal'!$B237,'GDP Deflator'!$B$6:$B$91,0)))</f>
        <v>7.6126513454372819</v>
      </c>
      <c r="M237" s="91">
        <f>'IEPR Gas Prices Real'!M239*(INDEX('GDP Deflator'!$D$6:$D$91,MATCH('IEPR Gas Prices Nominal'!$B237,'GDP Deflator'!$B$6:$B$91,0)))</f>
        <v>2.1257553808112846</v>
      </c>
      <c r="N237" s="91">
        <f>'IEPR Gas Prices Real'!N239*(INDEX('GDP Deflator'!$D$6:$D$91,MATCH('IEPR Gas Prices Nominal'!$B237,'GDP Deflator'!$B$6:$B$91,0)))</f>
        <v>9.7384067262485665</v>
      </c>
      <c r="O237" s="19"/>
      <c r="P237" s="229">
        <f t="shared" si="22"/>
        <v>7.3188116643072831</v>
      </c>
      <c r="Q237" s="229">
        <f t="shared" si="26"/>
        <v>10.436497568609095</v>
      </c>
      <c r="R237" s="144"/>
    </row>
    <row r="238" spans="2:18">
      <c r="B238" s="142">
        <f t="shared" si="23"/>
        <v>2041</v>
      </c>
      <c r="C238" s="19">
        <f t="shared" si="24"/>
        <v>5</v>
      </c>
      <c r="D238" s="143">
        <v>51622</v>
      </c>
      <c r="E238" s="19" t="str">
        <f t="shared" si="25"/>
        <v>5-2041</v>
      </c>
      <c r="F238" s="91">
        <f>'IEPR Gas Prices Real'!F240*(INDEX('GDP Deflator'!$D$6:$D$91,MATCH('IEPR Gas Prices Nominal'!$B238,'GDP Deflator'!$B$6:$B$91,0)))</f>
        <v>7.2435400816530677</v>
      </c>
      <c r="G238" s="91">
        <f>'IEPR Gas Prices Real'!G240*(INDEX('GDP Deflator'!$D$6:$D$91,MATCH('IEPR Gas Prices Nominal'!$B238,'GDP Deflator'!$B$6:$B$91,0)))</f>
        <v>2.7260064448903734</v>
      </c>
      <c r="H238" s="91">
        <f>'IEPR Gas Prices Real'!H240*(INDEX('GDP Deflator'!$D$6:$D$91,MATCH('IEPR Gas Prices Nominal'!$B238,'GDP Deflator'!$B$6:$B$91,0)))</f>
        <v>9.9695465265434411</v>
      </c>
      <c r="I238" s="91">
        <f>'IEPR Gas Prices Real'!I240*(INDEX('GDP Deflator'!$D$6:$D$91,MATCH('IEPR Gas Prices Nominal'!$B238,'GDP Deflator'!$B$6:$B$91,0)))</f>
        <v>7.5991104861484473</v>
      </c>
      <c r="J238" s="91">
        <f>'IEPR Gas Prices Real'!J240*(INDEX('GDP Deflator'!$D$6:$D$91,MATCH('IEPR Gas Prices Nominal'!$B238,'GDP Deflator'!$B$6:$B$91,0)))</f>
        <v>4.5012958872037743</v>
      </c>
      <c r="K238" s="91">
        <f>'IEPR Gas Prices Real'!K240*(INDEX('GDP Deflator'!$D$6:$D$91,MATCH('IEPR Gas Prices Nominal'!$B238,'GDP Deflator'!$B$6:$B$91,0)))</f>
        <v>12.100406373352223</v>
      </c>
      <c r="L238" s="91">
        <f>'IEPR Gas Prices Real'!L240*(INDEX('GDP Deflator'!$D$6:$D$91,MATCH('IEPR Gas Prices Nominal'!$B238,'GDP Deflator'!$B$6:$B$91,0)))</f>
        <v>7.8773704587938322</v>
      </c>
      <c r="M238" s="91">
        <f>'IEPR Gas Prices Real'!M240*(INDEX('GDP Deflator'!$D$6:$D$91,MATCH('IEPR Gas Prices Nominal'!$B238,'GDP Deflator'!$B$6:$B$91,0)))</f>
        <v>2.1257553808112846</v>
      </c>
      <c r="N238" s="91">
        <f>'IEPR Gas Prices Real'!N240*(INDEX('GDP Deflator'!$D$6:$D$91,MATCH('IEPR Gas Prices Nominal'!$B238,'GDP Deflator'!$B$6:$B$91,0)))</f>
        <v>10.003125839605117</v>
      </c>
      <c r="O238" s="19"/>
      <c r="P238" s="229">
        <f t="shared" si="22"/>
        <v>7.5733403421984491</v>
      </c>
      <c r="Q238" s="229">
        <f t="shared" si="26"/>
        <v>10.691026246500259</v>
      </c>
      <c r="R238" s="144"/>
    </row>
    <row r="239" spans="2:18">
      <c r="B239" s="142">
        <f t="shared" si="23"/>
        <v>2041</v>
      </c>
      <c r="C239" s="19">
        <f t="shared" si="24"/>
        <v>6</v>
      </c>
      <c r="D239" s="143">
        <v>51653</v>
      </c>
      <c r="E239" s="19" t="str">
        <f t="shared" si="25"/>
        <v>6-2041</v>
      </c>
      <c r="F239" s="91">
        <f>'IEPR Gas Prices Real'!F241*(INDEX('GDP Deflator'!$D$6:$D$91,MATCH('IEPR Gas Prices Nominal'!$B239,'GDP Deflator'!$B$6:$B$91,0)))</f>
        <v>7.4306784871480138</v>
      </c>
      <c r="G239" s="91">
        <f>'IEPR Gas Prices Real'!G241*(INDEX('GDP Deflator'!$D$6:$D$91,MATCH('IEPR Gas Prices Nominal'!$B239,'GDP Deflator'!$B$6:$B$91,0)))</f>
        <v>2.7260064448903734</v>
      </c>
      <c r="H239" s="91">
        <f>'IEPR Gas Prices Real'!H241*(INDEX('GDP Deflator'!$D$6:$D$91,MATCH('IEPR Gas Prices Nominal'!$B239,'GDP Deflator'!$B$6:$B$91,0)))</f>
        <v>10.156684932038388</v>
      </c>
      <c r="I239" s="91">
        <f>'IEPR Gas Prices Real'!I241*(INDEX('GDP Deflator'!$D$6:$D$91,MATCH('IEPR Gas Prices Nominal'!$B239,'GDP Deflator'!$B$6:$B$91,0)))</f>
        <v>7.7953393804074986</v>
      </c>
      <c r="J239" s="91">
        <f>'IEPR Gas Prices Real'!J241*(INDEX('GDP Deflator'!$D$6:$D$91,MATCH('IEPR Gas Prices Nominal'!$B239,'GDP Deflator'!$B$6:$B$91,0)))</f>
        <v>4.5012958872037743</v>
      </c>
      <c r="K239" s="91">
        <f>'IEPR Gas Prices Real'!K241*(INDEX('GDP Deflator'!$D$6:$D$91,MATCH('IEPR Gas Prices Nominal'!$B239,'GDP Deflator'!$B$6:$B$91,0)))</f>
        <v>12.296635267611272</v>
      </c>
      <c r="L239" s="91">
        <f>'IEPR Gas Prices Real'!L241*(INDEX('GDP Deflator'!$D$6:$D$91,MATCH('IEPR Gas Prices Nominal'!$B239,'GDP Deflator'!$B$6:$B$91,0)))</f>
        <v>8.0807883983150859</v>
      </c>
      <c r="M239" s="91">
        <f>'IEPR Gas Prices Real'!M241*(INDEX('GDP Deflator'!$D$6:$D$91,MATCH('IEPR Gas Prices Nominal'!$B239,'GDP Deflator'!$B$6:$B$91,0)))</f>
        <v>2.1257553808112846</v>
      </c>
      <c r="N239" s="91">
        <f>'IEPR Gas Prices Real'!N241*(INDEX('GDP Deflator'!$D$6:$D$91,MATCH('IEPR Gas Prices Nominal'!$B239,'GDP Deflator'!$B$6:$B$91,0)))</f>
        <v>10.20654377912637</v>
      </c>
      <c r="O239" s="19"/>
      <c r="P239" s="229">
        <f t="shared" si="22"/>
        <v>7.7689354219568658</v>
      </c>
      <c r="Q239" s="229">
        <f t="shared" si="26"/>
        <v>10.886621326258677</v>
      </c>
      <c r="R239" s="144"/>
    </row>
    <row r="240" spans="2:18">
      <c r="B240" s="142">
        <f t="shared" si="23"/>
        <v>2041</v>
      </c>
      <c r="C240" s="19">
        <f t="shared" si="24"/>
        <v>7</v>
      </c>
      <c r="D240" s="143">
        <v>51683</v>
      </c>
      <c r="E240" s="19" t="str">
        <f t="shared" si="25"/>
        <v>7-2041</v>
      </c>
      <c r="F240" s="91">
        <f>'IEPR Gas Prices Real'!F242*(INDEX('GDP Deflator'!$D$6:$D$91,MATCH('IEPR Gas Prices Nominal'!$B240,'GDP Deflator'!$B$6:$B$91,0)))</f>
        <v>7.4895066494099343</v>
      </c>
      <c r="G240" s="91">
        <f>'IEPR Gas Prices Real'!G242*(INDEX('GDP Deflator'!$D$6:$D$91,MATCH('IEPR Gas Prices Nominal'!$B240,'GDP Deflator'!$B$6:$B$91,0)))</f>
        <v>2.7260064448903734</v>
      </c>
      <c r="H240" s="91">
        <f>'IEPR Gas Prices Real'!H242*(INDEX('GDP Deflator'!$D$6:$D$91,MATCH('IEPR Gas Prices Nominal'!$B240,'GDP Deflator'!$B$6:$B$91,0)))</f>
        <v>10.215513094300308</v>
      </c>
      <c r="I240" s="91">
        <f>'IEPR Gas Prices Real'!I242*(INDEX('GDP Deflator'!$D$6:$D$91,MATCH('IEPR Gas Prices Nominal'!$B240,'GDP Deflator'!$B$6:$B$91,0)))</f>
        <v>7.8569580196163278</v>
      </c>
      <c r="J240" s="91">
        <f>'IEPR Gas Prices Real'!J242*(INDEX('GDP Deflator'!$D$6:$D$91,MATCH('IEPR Gas Prices Nominal'!$B240,'GDP Deflator'!$B$6:$B$91,0)))</f>
        <v>4.5012958872037743</v>
      </c>
      <c r="K240" s="91">
        <f>'IEPR Gas Prices Real'!K242*(INDEX('GDP Deflator'!$D$6:$D$91,MATCH('IEPR Gas Prices Nominal'!$B240,'GDP Deflator'!$B$6:$B$91,0)))</f>
        <v>12.358253906820103</v>
      </c>
      <c r="L240" s="91">
        <f>'IEPR Gas Prices Real'!L242*(INDEX('GDP Deflator'!$D$6:$D$91,MATCH('IEPR Gas Prices Nominal'!$B240,'GDP Deflator'!$B$6:$B$91,0)))</f>
        <v>8.1446670579915494</v>
      </c>
      <c r="M240" s="91">
        <f>'IEPR Gas Prices Real'!M242*(INDEX('GDP Deflator'!$D$6:$D$91,MATCH('IEPR Gas Prices Nominal'!$B240,'GDP Deflator'!$B$6:$B$91,0)))</f>
        <v>2.1257553808112846</v>
      </c>
      <c r="N240" s="91">
        <f>'IEPR Gas Prices Real'!N242*(INDEX('GDP Deflator'!$D$6:$D$91,MATCH('IEPR Gas Prices Nominal'!$B240,'GDP Deflator'!$B$6:$B$91,0)))</f>
        <v>10.270422438802834</v>
      </c>
      <c r="O240" s="19"/>
      <c r="P240" s="229">
        <f t="shared" si="22"/>
        <v>7.8303772423392699</v>
      </c>
      <c r="Q240" s="229">
        <f t="shared" si="26"/>
        <v>10.948063146641081</v>
      </c>
      <c r="R240" s="144"/>
    </row>
    <row r="241" spans="2:18">
      <c r="B241" s="142">
        <f t="shared" si="23"/>
        <v>2041</v>
      </c>
      <c r="C241" s="19">
        <f t="shared" si="24"/>
        <v>8</v>
      </c>
      <c r="D241" s="143">
        <v>51714</v>
      </c>
      <c r="E241" s="19" t="str">
        <f t="shared" si="25"/>
        <v>8-2041</v>
      </c>
      <c r="F241" s="91">
        <f>'IEPR Gas Prices Real'!F243*(INDEX('GDP Deflator'!$D$6:$D$91,MATCH('IEPR Gas Prices Nominal'!$B241,'GDP Deflator'!$B$6:$B$91,0)))</f>
        <v>7.4315354380278302</v>
      </c>
      <c r="G241" s="91">
        <f>'IEPR Gas Prices Real'!G243*(INDEX('GDP Deflator'!$D$6:$D$91,MATCH('IEPR Gas Prices Nominal'!$B241,'GDP Deflator'!$B$6:$B$91,0)))</f>
        <v>2.7260064448903734</v>
      </c>
      <c r="H241" s="91">
        <f>'IEPR Gas Prices Real'!H243*(INDEX('GDP Deflator'!$D$6:$D$91,MATCH('IEPR Gas Prices Nominal'!$B241,'GDP Deflator'!$B$6:$B$91,0)))</f>
        <v>10.157541882918204</v>
      </c>
      <c r="I241" s="91">
        <f>'IEPR Gas Prices Real'!I243*(INDEX('GDP Deflator'!$D$6:$D$91,MATCH('IEPR Gas Prices Nominal'!$B241,'GDP Deflator'!$B$6:$B$91,0)))</f>
        <v>7.7960468334916051</v>
      </c>
      <c r="J241" s="91">
        <f>'IEPR Gas Prices Real'!J243*(INDEX('GDP Deflator'!$D$6:$D$91,MATCH('IEPR Gas Prices Nominal'!$B241,'GDP Deflator'!$B$6:$B$91,0)))</f>
        <v>4.5012958872037743</v>
      </c>
      <c r="K241" s="91">
        <f>'IEPR Gas Prices Real'!K243*(INDEX('GDP Deflator'!$D$6:$D$91,MATCH('IEPR Gas Prices Nominal'!$B241,'GDP Deflator'!$B$6:$B$91,0)))</f>
        <v>12.297342720695379</v>
      </c>
      <c r="L241" s="91">
        <f>'IEPR Gas Prices Real'!L243*(INDEX('GDP Deflator'!$D$6:$D$91,MATCH('IEPR Gas Prices Nominal'!$B241,'GDP Deflator'!$B$6:$B$91,0)))</f>
        <v>8.0815290500356163</v>
      </c>
      <c r="M241" s="91">
        <f>'IEPR Gas Prices Real'!M243*(INDEX('GDP Deflator'!$D$6:$D$91,MATCH('IEPR Gas Prices Nominal'!$B241,'GDP Deflator'!$B$6:$B$91,0)))</f>
        <v>2.1257553808112846</v>
      </c>
      <c r="N241" s="91">
        <f>'IEPR Gas Prices Real'!N243*(INDEX('GDP Deflator'!$D$6:$D$91,MATCH('IEPR Gas Prices Nominal'!$B241,'GDP Deflator'!$B$6:$B$91,0)))</f>
        <v>10.207284430846901</v>
      </c>
      <c r="O241" s="19"/>
      <c r="P241" s="229">
        <f t="shared" si="22"/>
        <v>7.7697037738516839</v>
      </c>
      <c r="Q241" s="229">
        <f t="shared" si="26"/>
        <v>10.887389678153497</v>
      </c>
      <c r="R241" s="144"/>
    </row>
    <row r="242" spans="2:18">
      <c r="B242" s="142">
        <f t="shared" si="23"/>
        <v>2041</v>
      </c>
      <c r="C242" s="19">
        <f t="shared" si="24"/>
        <v>9</v>
      </c>
      <c r="D242" s="143">
        <v>51745</v>
      </c>
      <c r="E242" s="19" t="str">
        <f t="shared" si="25"/>
        <v>9-2041</v>
      </c>
      <c r="F242" s="91">
        <f>'IEPR Gas Prices Real'!F244*(INDEX('GDP Deflator'!$D$6:$D$91,MATCH('IEPR Gas Prices Nominal'!$B242,'GDP Deflator'!$B$6:$B$91,0)))</f>
        <v>7.5359432087264171</v>
      </c>
      <c r="G242" s="91">
        <f>'IEPR Gas Prices Real'!G244*(INDEX('GDP Deflator'!$D$6:$D$91,MATCH('IEPR Gas Prices Nominal'!$B242,'GDP Deflator'!$B$6:$B$91,0)))</f>
        <v>2.7260064448903734</v>
      </c>
      <c r="H242" s="91">
        <f>'IEPR Gas Prices Real'!H244*(INDEX('GDP Deflator'!$D$6:$D$91,MATCH('IEPR Gas Prices Nominal'!$B242,'GDP Deflator'!$B$6:$B$91,0)))</f>
        <v>10.26194965361679</v>
      </c>
      <c r="I242" s="91">
        <f>'IEPR Gas Prices Real'!I244*(INDEX('GDP Deflator'!$D$6:$D$91,MATCH('IEPR Gas Prices Nominal'!$B242,'GDP Deflator'!$B$6:$B$91,0)))</f>
        <v>7.9054785903401648</v>
      </c>
      <c r="J242" s="91">
        <f>'IEPR Gas Prices Real'!J244*(INDEX('GDP Deflator'!$D$6:$D$91,MATCH('IEPR Gas Prices Nominal'!$B242,'GDP Deflator'!$B$6:$B$91,0)))</f>
        <v>4.5012958872037743</v>
      </c>
      <c r="K242" s="91">
        <f>'IEPR Gas Prices Real'!K244*(INDEX('GDP Deflator'!$D$6:$D$91,MATCH('IEPR Gas Prices Nominal'!$B242,'GDP Deflator'!$B$6:$B$91,0)))</f>
        <v>12.406774477543939</v>
      </c>
      <c r="L242" s="91">
        <f>'IEPR Gas Prices Real'!L244*(INDEX('GDP Deflator'!$D$6:$D$91,MATCH('IEPR Gas Prices Nominal'!$B242,'GDP Deflator'!$B$6:$B$91,0)))</f>
        <v>8.1949717697893725</v>
      </c>
      <c r="M242" s="91">
        <f>'IEPR Gas Prices Real'!M244*(INDEX('GDP Deflator'!$D$6:$D$91,MATCH('IEPR Gas Prices Nominal'!$B242,'GDP Deflator'!$B$6:$B$91,0)))</f>
        <v>2.1257553808112846</v>
      </c>
      <c r="N242" s="91">
        <f>'IEPR Gas Prices Real'!N244*(INDEX('GDP Deflator'!$D$6:$D$91,MATCH('IEPR Gas Prices Nominal'!$B242,'GDP Deflator'!$B$6:$B$91,0)))</f>
        <v>10.320727150600657</v>
      </c>
      <c r="O242" s="19"/>
      <c r="P242" s="229">
        <f t="shared" si="22"/>
        <v>7.8787978562853178</v>
      </c>
      <c r="Q242" s="229">
        <f t="shared" si="26"/>
        <v>10.996483760587131</v>
      </c>
      <c r="R242" s="144"/>
    </row>
    <row r="243" spans="2:18">
      <c r="B243" s="142">
        <f t="shared" si="23"/>
        <v>2041</v>
      </c>
      <c r="C243" s="19">
        <f t="shared" si="24"/>
        <v>10</v>
      </c>
      <c r="D243" s="143">
        <v>51775</v>
      </c>
      <c r="E243" s="19" t="str">
        <f t="shared" si="25"/>
        <v>10-2041</v>
      </c>
      <c r="F243" s="91">
        <f>'IEPR Gas Prices Real'!F245*(INDEX('GDP Deflator'!$D$6:$D$91,MATCH('IEPR Gas Prices Nominal'!$B243,'GDP Deflator'!$B$6:$B$91,0)))</f>
        <v>7.4923947184267261</v>
      </c>
      <c r="G243" s="91">
        <f>'IEPR Gas Prices Real'!G245*(INDEX('GDP Deflator'!$D$6:$D$91,MATCH('IEPR Gas Prices Nominal'!$B243,'GDP Deflator'!$B$6:$B$91,0)))</f>
        <v>2.7260064448903734</v>
      </c>
      <c r="H243" s="91">
        <f>'IEPR Gas Prices Real'!H245*(INDEX('GDP Deflator'!$D$6:$D$91,MATCH('IEPR Gas Prices Nominal'!$B243,'GDP Deflator'!$B$6:$B$91,0)))</f>
        <v>10.2184011633171</v>
      </c>
      <c r="I243" s="91">
        <f>'IEPR Gas Prices Real'!I245*(INDEX('GDP Deflator'!$D$6:$D$91,MATCH('IEPR Gas Prices Nominal'!$B243,'GDP Deflator'!$B$6:$B$91,0)))</f>
        <v>7.8596980509033152</v>
      </c>
      <c r="J243" s="91">
        <f>'IEPR Gas Prices Real'!J245*(INDEX('GDP Deflator'!$D$6:$D$91,MATCH('IEPR Gas Prices Nominal'!$B243,'GDP Deflator'!$B$6:$B$91,0)))</f>
        <v>4.5012958872037743</v>
      </c>
      <c r="K243" s="91">
        <f>'IEPR Gas Prices Real'!K245*(INDEX('GDP Deflator'!$D$6:$D$91,MATCH('IEPR Gas Prices Nominal'!$B243,'GDP Deflator'!$B$6:$B$91,0)))</f>
        <v>12.360993938107089</v>
      </c>
      <c r="L243" s="91">
        <f>'IEPR Gas Prices Real'!L245*(INDEX('GDP Deflator'!$D$6:$D$91,MATCH('IEPR Gas Prices Nominal'!$B243,'GDP Deflator'!$B$6:$B$91,0)))</f>
        <v>8.1475184561994904</v>
      </c>
      <c r="M243" s="91">
        <f>'IEPR Gas Prices Real'!M245*(INDEX('GDP Deflator'!$D$6:$D$91,MATCH('IEPR Gas Prices Nominal'!$B243,'GDP Deflator'!$B$6:$B$91,0)))</f>
        <v>2.1257553808112846</v>
      </c>
      <c r="N243" s="91">
        <f>'IEPR Gas Prices Real'!N245*(INDEX('GDP Deflator'!$D$6:$D$91,MATCH('IEPR Gas Prices Nominal'!$B243,'GDP Deflator'!$B$6:$B$91,0)))</f>
        <v>10.273273837010775</v>
      </c>
      <c r="O243" s="19"/>
      <c r="P243" s="229">
        <f t="shared" si="22"/>
        <v>7.8332037418431781</v>
      </c>
      <c r="Q243" s="229">
        <f t="shared" si="26"/>
        <v>10.950889646144988</v>
      </c>
      <c r="R243" s="144"/>
    </row>
    <row r="244" spans="2:18">
      <c r="B244" s="142">
        <f t="shared" si="23"/>
        <v>2041</v>
      </c>
      <c r="C244" s="19">
        <f t="shared" si="24"/>
        <v>11</v>
      </c>
      <c r="D244" s="143">
        <v>51806</v>
      </c>
      <c r="E244" s="19" t="str">
        <f t="shared" si="25"/>
        <v>11-2041</v>
      </c>
      <c r="F244" s="91">
        <f>'IEPR Gas Prices Real'!F246*(INDEX('GDP Deflator'!$D$6:$D$91,MATCH('IEPR Gas Prices Nominal'!$B244,'GDP Deflator'!$B$6:$B$91,0)))</f>
        <v>7.8625915037654135</v>
      </c>
      <c r="G244" s="91">
        <f>'IEPR Gas Prices Real'!G246*(INDEX('GDP Deflator'!$D$6:$D$91,MATCH('IEPR Gas Prices Nominal'!$B244,'GDP Deflator'!$B$6:$B$91,0)))</f>
        <v>2.7260064448903734</v>
      </c>
      <c r="H244" s="91">
        <f>'IEPR Gas Prices Real'!H246*(INDEX('GDP Deflator'!$D$6:$D$91,MATCH('IEPR Gas Prices Nominal'!$B244,'GDP Deflator'!$B$6:$B$91,0)))</f>
        <v>10.588597948655787</v>
      </c>
      <c r="I244" s="91">
        <f>'IEPR Gas Prices Real'!I246*(INDEX('GDP Deflator'!$D$6:$D$91,MATCH('IEPR Gas Prices Nominal'!$B244,'GDP Deflator'!$B$6:$B$91,0)))</f>
        <v>8.2479418014028614</v>
      </c>
      <c r="J244" s="91">
        <f>'IEPR Gas Prices Real'!J246*(INDEX('GDP Deflator'!$D$6:$D$91,MATCH('IEPR Gas Prices Nominal'!$B244,'GDP Deflator'!$B$6:$B$91,0)))</f>
        <v>4.5012958872037743</v>
      </c>
      <c r="K244" s="91">
        <f>'IEPR Gas Prices Real'!K246*(INDEX('GDP Deflator'!$D$6:$D$91,MATCH('IEPR Gas Prices Nominal'!$B244,'GDP Deflator'!$B$6:$B$91,0)))</f>
        <v>12.749237688606636</v>
      </c>
      <c r="L244" s="91">
        <f>'IEPR Gas Prices Real'!L246*(INDEX('GDP Deflator'!$D$6:$D$91,MATCH('IEPR Gas Prices Nominal'!$B244,'GDP Deflator'!$B$6:$B$91,0)))</f>
        <v>8.549983466892737</v>
      </c>
      <c r="M244" s="91">
        <f>'IEPR Gas Prices Real'!M246*(INDEX('GDP Deflator'!$D$6:$D$91,MATCH('IEPR Gas Prices Nominal'!$B244,'GDP Deflator'!$B$6:$B$91,0)))</f>
        <v>2.1257553808112846</v>
      </c>
      <c r="N244" s="91">
        <f>'IEPR Gas Prices Real'!N246*(INDEX('GDP Deflator'!$D$6:$D$91,MATCH('IEPR Gas Prices Nominal'!$B244,'GDP Deflator'!$B$6:$B$91,0)))</f>
        <v>10.675738847704022</v>
      </c>
      <c r="O244" s="19"/>
      <c r="P244" s="229">
        <f t="shared" si="22"/>
        <v>8.2201722573536706</v>
      </c>
      <c r="Q244" s="229">
        <f t="shared" si="26"/>
        <v>11.337858161655481</v>
      </c>
      <c r="R244" s="144"/>
    </row>
    <row r="245" spans="2:18">
      <c r="B245" s="142">
        <f t="shared" si="23"/>
        <v>2041</v>
      </c>
      <c r="C245" s="19">
        <f t="shared" si="24"/>
        <v>12</v>
      </c>
      <c r="D245" s="143">
        <v>51836</v>
      </c>
      <c r="E245" s="19" t="str">
        <f t="shared" si="25"/>
        <v>12-2041</v>
      </c>
      <c r="F245" s="91">
        <f>'IEPR Gas Prices Real'!F247*(INDEX('GDP Deflator'!$D$6:$D$91,MATCH('IEPR Gas Prices Nominal'!$B245,'GDP Deflator'!$B$6:$B$91,0)))</f>
        <v>7.9257043716082602</v>
      </c>
      <c r="G245" s="91">
        <f>'IEPR Gas Prices Real'!G247*(INDEX('GDP Deflator'!$D$6:$D$91,MATCH('IEPR Gas Prices Nominal'!$B245,'GDP Deflator'!$B$6:$B$91,0)))</f>
        <v>2.7260064448903734</v>
      </c>
      <c r="H245" s="91">
        <f>'IEPR Gas Prices Real'!H247*(INDEX('GDP Deflator'!$D$6:$D$91,MATCH('IEPR Gas Prices Nominal'!$B245,'GDP Deflator'!$B$6:$B$91,0)))</f>
        <v>10.651710816498634</v>
      </c>
      <c r="I245" s="91">
        <f>'IEPR Gas Prices Real'!I247*(INDEX('GDP Deflator'!$D$6:$D$91,MATCH('IEPR Gas Prices Nominal'!$B245,'GDP Deflator'!$B$6:$B$91,0)))</f>
        <v>8.3140456699285199</v>
      </c>
      <c r="J245" s="91">
        <f>'IEPR Gas Prices Real'!J247*(INDEX('GDP Deflator'!$D$6:$D$91,MATCH('IEPR Gas Prices Nominal'!$B245,'GDP Deflator'!$B$6:$B$91,0)))</f>
        <v>4.5012958872037743</v>
      </c>
      <c r="K245" s="91">
        <f>'IEPR Gas Prices Real'!K247*(INDEX('GDP Deflator'!$D$6:$D$91,MATCH('IEPR Gas Prices Nominal'!$B245,'GDP Deflator'!$B$6:$B$91,0)))</f>
        <v>12.815341557132294</v>
      </c>
      <c r="L245" s="91">
        <f>'IEPR Gas Prices Real'!L247*(INDEX('GDP Deflator'!$D$6:$D$91,MATCH('IEPR Gas Prices Nominal'!$B245,'GDP Deflator'!$B$6:$B$91,0)))</f>
        <v>8.6185119667597334</v>
      </c>
      <c r="M245" s="91">
        <f>'IEPR Gas Prices Real'!M247*(INDEX('GDP Deflator'!$D$6:$D$91,MATCH('IEPR Gas Prices Nominal'!$B245,'GDP Deflator'!$B$6:$B$91,0)))</f>
        <v>2.1257553808112846</v>
      </c>
      <c r="N245" s="91">
        <f>'IEPR Gas Prices Real'!N247*(INDEX('GDP Deflator'!$D$6:$D$91,MATCH('IEPR Gas Prices Nominal'!$B245,'GDP Deflator'!$B$6:$B$91,0)))</f>
        <v>10.744267347571018</v>
      </c>
      <c r="O245" s="19"/>
      <c r="P245" s="229">
        <f t="shared" si="22"/>
        <v>8.2860873360988379</v>
      </c>
      <c r="Q245" s="229">
        <f t="shared" si="26"/>
        <v>11.403773240400648</v>
      </c>
      <c r="R245" s="144"/>
    </row>
    <row r="246" spans="2:18">
      <c r="B246" s="142">
        <f t="shared" si="23"/>
        <v>2042</v>
      </c>
      <c r="C246" s="19">
        <f t="shared" si="24"/>
        <v>1</v>
      </c>
      <c r="D246" s="143">
        <v>51867</v>
      </c>
      <c r="E246" s="19" t="str">
        <f t="shared" si="25"/>
        <v>1-2042</v>
      </c>
      <c r="F246" s="91">
        <f>'IEPR Gas Prices Real'!F248*(INDEX('GDP Deflator'!$D$6:$D$91,MATCH('IEPR Gas Prices Nominal'!$B246,'GDP Deflator'!$B$6:$B$91,0)))</f>
        <v>8.1058035075265735</v>
      </c>
      <c r="G246" s="91">
        <f>'IEPR Gas Prices Real'!G248*(INDEX('GDP Deflator'!$D$6:$D$91,MATCH('IEPR Gas Prices Nominal'!$B246,'GDP Deflator'!$B$6:$B$91,0)))</f>
        <v>2.8993420274489448</v>
      </c>
      <c r="H246" s="91">
        <f>'IEPR Gas Prices Real'!H248*(INDEX('GDP Deflator'!$D$6:$D$91,MATCH('IEPR Gas Prices Nominal'!$B246,'GDP Deflator'!$B$6:$B$91,0)))</f>
        <v>11.005145534975517</v>
      </c>
      <c r="I246" s="91">
        <f>'IEPR Gas Prices Real'!I248*(INDEX('GDP Deflator'!$D$6:$D$91,MATCH('IEPR Gas Prices Nominal'!$B246,'GDP Deflator'!$B$6:$B$91,0)))</f>
        <v>8.5028685472900687</v>
      </c>
      <c r="J246" s="91">
        <f>'IEPR Gas Prices Real'!J248*(INDEX('GDP Deflator'!$D$6:$D$91,MATCH('IEPR Gas Prices Nominal'!$B246,'GDP Deflator'!$B$6:$B$91,0)))</f>
        <v>4.7875148528043301</v>
      </c>
      <c r="K246" s="91">
        <f>'IEPR Gas Prices Real'!K248*(INDEX('GDP Deflator'!$D$6:$D$91,MATCH('IEPR Gas Prices Nominal'!$B246,'GDP Deflator'!$B$6:$B$91,0)))</f>
        <v>13.290383400094397</v>
      </c>
      <c r="L246" s="91">
        <f>'IEPR Gas Prices Real'!L248*(INDEX('GDP Deflator'!$D$6:$D$91,MATCH('IEPR Gas Prices Nominal'!$B246,'GDP Deflator'!$B$6:$B$91,0)))</f>
        <v>8.8142533735240658</v>
      </c>
      <c r="M246" s="91">
        <f>'IEPR Gas Prices Real'!M248*(INDEX('GDP Deflator'!$D$6:$D$91,MATCH('IEPR Gas Prices Nominal'!$B246,'GDP Deflator'!$B$6:$B$91,0)))</f>
        <v>2.2609234571746404</v>
      </c>
      <c r="N246" s="91">
        <f>'IEPR Gas Prices Real'!N248*(INDEX('GDP Deflator'!$D$6:$D$91,MATCH('IEPR Gas Prices Nominal'!$B246,'GDP Deflator'!$B$6:$B$91,0)))</f>
        <v>11.075176830698707</v>
      </c>
      <c r="O246" s="19"/>
      <c r="P246" s="229">
        <f t="shared" si="22"/>
        <v>8.4743084761135705</v>
      </c>
      <c r="Q246" s="229">
        <f t="shared" si="26"/>
        <v>11.790235255256206</v>
      </c>
      <c r="R246" s="144"/>
    </row>
    <row r="247" spans="2:18">
      <c r="B247" s="142">
        <f t="shared" si="23"/>
        <v>2042</v>
      </c>
      <c r="C247" s="19">
        <f t="shared" si="24"/>
        <v>2</v>
      </c>
      <c r="D247" s="143">
        <v>51898</v>
      </c>
      <c r="E247" s="19" t="str">
        <f t="shared" si="25"/>
        <v>2-2042</v>
      </c>
      <c r="F247" s="91">
        <f>'IEPR Gas Prices Real'!F249*(INDEX('GDP Deflator'!$D$6:$D$91,MATCH('IEPR Gas Prices Nominal'!$B247,'GDP Deflator'!$B$6:$B$91,0)))</f>
        <v>7.9279665948114504</v>
      </c>
      <c r="G247" s="91">
        <f>'IEPR Gas Prices Real'!G249*(INDEX('GDP Deflator'!$D$6:$D$91,MATCH('IEPR Gas Prices Nominal'!$B247,'GDP Deflator'!$B$6:$B$91,0)))</f>
        <v>2.8993420274489448</v>
      </c>
      <c r="H247" s="91">
        <f>'IEPR Gas Prices Real'!H249*(INDEX('GDP Deflator'!$D$6:$D$91,MATCH('IEPR Gas Prices Nominal'!$B247,'GDP Deflator'!$B$6:$B$91,0)))</f>
        <v>10.827308622260395</v>
      </c>
      <c r="I247" s="91">
        <f>'IEPR Gas Prices Real'!I249*(INDEX('GDP Deflator'!$D$6:$D$91,MATCH('IEPR Gas Prices Nominal'!$B247,'GDP Deflator'!$B$6:$B$91,0)))</f>
        <v>8.3162217398878813</v>
      </c>
      <c r="J247" s="91">
        <f>'IEPR Gas Prices Real'!J249*(INDEX('GDP Deflator'!$D$6:$D$91,MATCH('IEPR Gas Prices Nominal'!$B247,'GDP Deflator'!$B$6:$B$91,0)))</f>
        <v>4.7875148528043301</v>
      </c>
      <c r="K247" s="91">
        <f>'IEPR Gas Prices Real'!K249*(INDEX('GDP Deflator'!$D$6:$D$91,MATCH('IEPR Gas Prices Nominal'!$B247,'GDP Deflator'!$B$6:$B$91,0)))</f>
        <v>13.103736592692211</v>
      </c>
      <c r="L247" s="91">
        <f>'IEPR Gas Prices Real'!L249*(INDEX('GDP Deflator'!$D$6:$D$91,MATCH('IEPR Gas Prices Nominal'!$B247,'GDP Deflator'!$B$6:$B$91,0)))</f>
        <v>8.6207749652429939</v>
      </c>
      <c r="M247" s="91">
        <f>'IEPR Gas Prices Real'!M249*(INDEX('GDP Deflator'!$D$6:$D$91,MATCH('IEPR Gas Prices Nominal'!$B247,'GDP Deflator'!$B$6:$B$91,0)))</f>
        <v>2.2609234571746404</v>
      </c>
      <c r="N247" s="91">
        <f>'IEPR Gas Prices Real'!N249*(INDEX('GDP Deflator'!$D$6:$D$91,MATCH('IEPR Gas Prices Nominal'!$B247,'GDP Deflator'!$B$6:$B$91,0)))</f>
        <v>10.881698422417635</v>
      </c>
      <c r="O247" s="19"/>
      <c r="P247" s="229">
        <f t="shared" si="22"/>
        <v>8.2883210999807755</v>
      </c>
      <c r="Q247" s="229">
        <f t="shared" si="26"/>
        <v>11.604247879123413</v>
      </c>
      <c r="R247" s="144"/>
    </row>
    <row r="248" spans="2:18">
      <c r="B248" s="142">
        <f t="shared" si="23"/>
        <v>2042</v>
      </c>
      <c r="C248" s="19">
        <f t="shared" si="24"/>
        <v>3</v>
      </c>
      <c r="D248" s="143">
        <v>51926</v>
      </c>
      <c r="E248" s="19" t="str">
        <f t="shared" si="25"/>
        <v>3-2042</v>
      </c>
      <c r="F248" s="91">
        <f>'IEPR Gas Prices Real'!F250*(INDEX('GDP Deflator'!$D$6:$D$91,MATCH('IEPR Gas Prices Nominal'!$B248,'GDP Deflator'!$B$6:$B$91,0)))</f>
        <v>7.2777867352677603</v>
      </c>
      <c r="G248" s="91">
        <f>'IEPR Gas Prices Real'!G250*(INDEX('GDP Deflator'!$D$6:$D$91,MATCH('IEPR Gas Prices Nominal'!$B248,'GDP Deflator'!$B$6:$B$91,0)))</f>
        <v>2.8993420274489448</v>
      </c>
      <c r="H248" s="91">
        <f>'IEPR Gas Prices Real'!H250*(INDEX('GDP Deflator'!$D$6:$D$91,MATCH('IEPR Gas Prices Nominal'!$B248,'GDP Deflator'!$B$6:$B$91,0)))</f>
        <v>10.177128762716704</v>
      </c>
      <c r="I248" s="91">
        <f>'IEPR Gas Prices Real'!I250*(INDEX('GDP Deflator'!$D$6:$D$91,MATCH('IEPR Gas Prices Nominal'!$B248,'GDP Deflator'!$B$6:$B$91,0)))</f>
        <v>7.634110281621421</v>
      </c>
      <c r="J248" s="91">
        <f>'IEPR Gas Prices Real'!J250*(INDEX('GDP Deflator'!$D$6:$D$91,MATCH('IEPR Gas Prices Nominal'!$B248,'GDP Deflator'!$B$6:$B$91,0)))</f>
        <v>4.7875148528043301</v>
      </c>
      <c r="K248" s="91">
        <f>'IEPR Gas Prices Real'!K250*(INDEX('GDP Deflator'!$D$6:$D$91,MATCH('IEPR Gas Prices Nominal'!$B248,'GDP Deflator'!$B$6:$B$91,0)))</f>
        <v>12.421625134425753</v>
      </c>
      <c r="L248" s="91">
        <f>'IEPR Gas Prices Real'!L250*(INDEX('GDP Deflator'!$D$6:$D$91,MATCH('IEPR Gas Prices Nominal'!$B248,'GDP Deflator'!$B$6:$B$91,0)))</f>
        <v>7.9136868273314311</v>
      </c>
      <c r="M248" s="91">
        <f>'IEPR Gas Prices Real'!M250*(INDEX('GDP Deflator'!$D$6:$D$91,MATCH('IEPR Gas Prices Nominal'!$B248,'GDP Deflator'!$B$6:$B$91,0)))</f>
        <v>2.2609234571746404</v>
      </c>
      <c r="N248" s="91">
        <f>'IEPR Gas Prices Real'!N250*(INDEX('GDP Deflator'!$D$6:$D$91,MATCH('IEPR Gas Prices Nominal'!$B248,'GDP Deflator'!$B$6:$B$91,0)))</f>
        <v>10.174610284506072</v>
      </c>
      <c r="O248" s="19"/>
      <c r="P248" s="229">
        <f t="shared" si="22"/>
        <v>7.6085279480735375</v>
      </c>
      <c r="Q248" s="229">
        <f t="shared" si="26"/>
        <v>10.924454727216178</v>
      </c>
      <c r="R248" s="144"/>
    </row>
    <row r="249" spans="2:18">
      <c r="B249" s="142">
        <f t="shared" si="23"/>
        <v>2042</v>
      </c>
      <c r="C249" s="19">
        <f t="shared" si="24"/>
        <v>4</v>
      </c>
      <c r="D249" s="143">
        <v>51957</v>
      </c>
      <c r="E249" s="19" t="str">
        <f t="shared" si="25"/>
        <v>4-2042</v>
      </c>
      <c r="F249" s="91">
        <f>'IEPR Gas Prices Real'!F251*(INDEX('GDP Deflator'!$D$6:$D$91,MATCH('IEPR Gas Prices Nominal'!$B249,'GDP Deflator'!$B$6:$B$91,0)))</f>
        <v>7.1538459666669709</v>
      </c>
      <c r="G249" s="91">
        <f>'IEPR Gas Prices Real'!G251*(INDEX('GDP Deflator'!$D$6:$D$91,MATCH('IEPR Gas Prices Nominal'!$B249,'GDP Deflator'!$B$6:$B$91,0)))</f>
        <v>2.8993420274489448</v>
      </c>
      <c r="H249" s="91">
        <f>'IEPR Gas Prices Real'!H251*(INDEX('GDP Deflator'!$D$6:$D$91,MATCH('IEPR Gas Prices Nominal'!$B249,'GDP Deflator'!$B$6:$B$91,0)))</f>
        <v>10.053187994115916</v>
      </c>
      <c r="I249" s="91">
        <f>'IEPR Gas Prices Real'!I251*(INDEX('GDP Deflator'!$D$6:$D$91,MATCH('IEPR Gas Prices Nominal'!$B249,'GDP Deflator'!$B$6:$B$91,0)))</f>
        <v>7.5040124143215703</v>
      </c>
      <c r="J249" s="91">
        <f>'IEPR Gas Prices Real'!J251*(INDEX('GDP Deflator'!$D$6:$D$91,MATCH('IEPR Gas Prices Nominal'!$B249,'GDP Deflator'!$B$6:$B$91,0)))</f>
        <v>4.7875148528043301</v>
      </c>
      <c r="K249" s="91">
        <f>'IEPR Gas Prices Real'!K251*(INDEX('GDP Deflator'!$D$6:$D$91,MATCH('IEPR Gas Prices Nominal'!$B249,'GDP Deflator'!$B$6:$B$91,0)))</f>
        <v>12.2915272671259</v>
      </c>
      <c r="L249" s="91">
        <f>'IEPR Gas Prices Real'!L251*(INDEX('GDP Deflator'!$D$6:$D$91,MATCH('IEPR Gas Prices Nominal'!$B249,'GDP Deflator'!$B$6:$B$91,0)))</f>
        <v>7.7788277804689603</v>
      </c>
      <c r="M249" s="91">
        <f>'IEPR Gas Prices Real'!M251*(INDEX('GDP Deflator'!$D$6:$D$91,MATCH('IEPR Gas Prices Nominal'!$B249,'GDP Deflator'!$B$6:$B$91,0)))</f>
        <v>2.2609234571746404</v>
      </c>
      <c r="N249" s="91">
        <f>'IEPR Gas Prices Real'!N251*(INDEX('GDP Deflator'!$D$6:$D$91,MATCH('IEPR Gas Prices Nominal'!$B249,'GDP Deflator'!$B$6:$B$91,0)))</f>
        <v>10.039751237643602</v>
      </c>
      <c r="O249" s="19"/>
      <c r="P249" s="229">
        <f t="shared" si="22"/>
        <v>7.4788953871525008</v>
      </c>
      <c r="Q249" s="229">
        <f t="shared" si="26"/>
        <v>10.794822166295139</v>
      </c>
      <c r="R249" s="144"/>
    </row>
    <row r="250" spans="2:18">
      <c r="B250" s="142">
        <f t="shared" si="23"/>
        <v>2042</v>
      </c>
      <c r="C250" s="19">
        <f t="shared" si="24"/>
        <v>5</v>
      </c>
      <c r="D250" s="143">
        <v>51987</v>
      </c>
      <c r="E250" s="19" t="str">
        <f t="shared" si="25"/>
        <v>5-2042</v>
      </c>
      <c r="F250" s="91">
        <f>'IEPR Gas Prices Real'!F252*(INDEX('GDP Deflator'!$D$6:$D$91,MATCH('IEPR Gas Prices Nominal'!$B250,'GDP Deflator'!$B$6:$B$91,0)))</f>
        <v>7.4027112750999366</v>
      </c>
      <c r="G250" s="91">
        <f>'IEPR Gas Prices Real'!G252*(INDEX('GDP Deflator'!$D$6:$D$91,MATCH('IEPR Gas Prices Nominal'!$B250,'GDP Deflator'!$B$6:$B$91,0)))</f>
        <v>2.8993420274489448</v>
      </c>
      <c r="H250" s="91">
        <f>'IEPR Gas Prices Real'!H252*(INDEX('GDP Deflator'!$D$6:$D$91,MATCH('IEPR Gas Prices Nominal'!$B250,'GDP Deflator'!$B$6:$B$91,0)))</f>
        <v>10.302053302548881</v>
      </c>
      <c r="I250" s="91">
        <f>'IEPR Gas Prices Real'!I252*(INDEX('GDP Deflator'!$D$6:$D$91,MATCH('IEPR Gas Prices Nominal'!$B250,'GDP Deflator'!$B$6:$B$91,0)))</f>
        <v>7.7649671727666743</v>
      </c>
      <c r="J250" s="91">
        <f>'IEPR Gas Prices Real'!J252*(INDEX('GDP Deflator'!$D$6:$D$91,MATCH('IEPR Gas Prices Nominal'!$B250,'GDP Deflator'!$B$6:$B$91,0)))</f>
        <v>4.7875148528043301</v>
      </c>
      <c r="K250" s="91">
        <f>'IEPR Gas Prices Real'!K252*(INDEX('GDP Deflator'!$D$6:$D$91,MATCH('IEPR Gas Prices Nominal'!$B250,'GDP Deflator'!$B$6:$B$91,0)))</f>
        <v>12.552482025571004</v>
      </c>
      <c r="L250" s="91">
        <f>'IEPR Gas Prices Real'!L252*(INDEX('GDP Deflator'!$D$6:$D$91,MATCH('IEPR Gas Prices Nominal'!$B250,'GDP Deflator'!$B$6:$B$91,0)))</f>
        <v>8.0493427244555935</v>
      </c>
      <c r="M250" s="91">
        <f>'IEPR Gas Prices Real'!M252*(INDEX('GDP Deflator'!$D$6:$D$91,MATCH('IEPR Gas Prices Nominal'!$B250,'GDP Deflator'!$B$6:$B$91,0)))</f>
        <v>2.2609234571746404</v>
      </c>
      <c r="N250" s="91">
        <f>'IEPR Gas Prices Real'!N252*(INDEX('GDP Deflator'!$D$6:$D$91,MATCH('IEPR Gas Prices Nominal'!$B250,'GDP Deflator'!$B$6:$B$91,0)))</f>
        <v>10.310266181630235</v>
      </c>
      <c r="O250" s="19"/>
      <c r="P250" s="229">
        <f t="shared" si="22"/>
        <v>7.7390070574407348</v>
      </c>
      <c r="Q250" s="229">
        <f t="shared" si="26"/>
        <v>11.054933836583373</v>
      </c>
      <c r="R250" s="144"/>
    </row>
    <row r="251" spans="2:18">
      <c r="B251" s="142">
        <f t="shared" si="23"/>
        <v>2042</v>
      </c>
      <c r="C251" s="19">
        <f t="shared" si="24"/>
        <v>6</v>
      </c>
      <c r="D251" s="143">
        <v>52018</v>
      </c>
      <c r="E251" s="19" t="str">
        <f t="shared" si="25"/>
        <v>6-2042</v>
      </c>
      <c r="F251" s="91">
        <f>'IEPR Gas Prices Real'!F253*(INDEX('GDP Deflator'!$D$6:$D$91,MATCH('IEPR Gas Prices Nominal'!$B251,'GDP Deflator'!$B$6:$B$91,0)))</f>
        <v>7.5939751628394303</v>
      </c>
      <c r="G251" s="91">
        <f>'IEPR Gas Prices Real'!G253*(INDEX('GDP Deflator'!$D$6:$D$91,MATCH('IEPR Gas Prices Nominal'!$B251,'GDP Deflator'!$B$6:$B$91,0)))</f>
        <v>2.8993420274489448</v>
      </c>
      <c r="H251" s="91">
        <f>'IEPR Gas Prices Real'!H253*(INDEX('GDP Deflator'!$D$6:$D$91,MATCH('IEPR Gas Prices Nominal'!$B251,'GDP Deflator'!$B$6:$B$91,0)))</f>
        <v>10.493317190288375</v>
      </c>
      <c r="I251" s="91">
        <f>'IEPR Gas Prices Real'!I253*(INDEX('GDP Deflator'!$D$6:$D$91,MATCH('IEPR Gas Prices Nominal'!$B251,'GDP Deflator'!$B$6:$B$91,0)))</f>
        <v>7.9654962710967707</v>
      </c>
      <c r="J251" s="91">
        <f>'IEPR Gas Prices Real'!J253*(INDEX('GDP Deflator'!$D$6:$D$91,MATCH('IEPR Gas Prices Nominal'!$B251,'GDP Deflator'!$B$6:$B$91,0)))</f>
        <v>4.7875148528043301</v>
      </c>
      <c r="K251" s="91">
        <f>'IEPR Gas Prices Real'!K253*(INDEX('GDP Deflator'!$D$6:$D$91,MATCH('IEPR Gas Prices Nominal'!$B251,'GDP Deflator'!$B$6:$B$91,0)))</f>
        <v>12.7530111239011</v>
      </c>
      <c r="L251" s="91">
        <f>'IEPR Gas Prices Real'!L253*(INDEX('GDP Deflator'!$D$6:$D$91,MATCH('IEPR Gas Prices Nominal'!$B251,'GDP Deflator'!$B$6:$B$91,0)))</f>
        <v>8.2572192473527526</v>
      </c>
      <c r="M251" s="91">
        <f>'IEPR Gas Prices Real'!M253*(INDEX('GDP Deflator'!$D$6:$D$91,MATCH('IEPR Gas Prices Nominal'!$B251,'GDP Deflator'!$B$6:$B$91,0)))</f>
        <v>2.2609234571746404</v>
      </c>
      <c r="N251" s="91">
        <f>'IEPR Gas Prices Real'!N253*(INDEX('GDP Deflator'!$D$6:$D$91,MATCH('IEPR Gas Prices Nominal'!$B251,'GDP Deflator'!$B$6:$B$91,0)))</f>
        <v>10.518142704527394</v>
      </c>
      <c r="O251" s="19"/>
      <c r="P251" s="229">
        <f t="shared" si="22"/>
        <v>7.9388968937629842</v>
      </c>
      <c r="Q251" s="229">
        <f t="shared" si="26"/>
        <v>11.254823672905623</v>
      </c>
      <c r="R251" s="144"/>
    </row>
    <row r="252" spans="2:18">
      <c r="B252" s="142">
        <f t="shared" si="23"/>
        <v>2042</v>
      </c>
      <c r="C252" s="19">
        <f t="shared" si="24"/>
        <v>7</v>
      </c>
      <c r="D252" s="143">
        <v>52048</v>
      </c>
      <c r="E252" s="19" t="str">
        <f t="shared" si="25"/>
        <v>7-2042</v>
      </c>
      <c r="F252" s="91">
        <f>'IEPR Gas Prices Real'!F254*(INDEX('GDP Deflator'!$D$6:$D$91,MATCH('IEPR Gas Prices Nominal'!$B252,'GDP Deflator'!$B$6:$B$91,0)))</f>
        <v>7.6541095004640027</v>
      </c>
      <c r="G252" s="91">
        <f>'IEPR Gas Prices Real'!G254*(INDEX('GDP Deflator'!$D$6:$D$91,MATCH('IEPR Gas Prices Nominal'!$B252,'GDP Deflator'!$B$6:$B$91,0)))</f>
        <v>2.8993420274489448</v>
      </c>
      <c r="H252" s="91">
        <f>'IEPR Gas Prices Real'!H254*(INDEX('GDP Deflator'!$D$6:$D$91,MATCH('IEPR Gas Prices Nominal'!$B252,'GDP Deflator'!$B$6:$B$91,0)))</f>
        <v>10.553451527912948</v>
      </c>
      <c r="I252" s="91">
        <f>'IEPR Gas Prices Real'!I254*(INDEX('GDP Deflator'!$D$6:$D$91,MATCH('IEPR Gas Prices Nominal'!$B252,'GDP Deflator'!$B$6:$B$91,0)))</f>
        <v>8.0284774142669093</v>
      </c>
      <c r="J252" s="91">
        <f>'IEPR Gas Prices Real'!J254*(INDEX('GDP Deflator'!$D$6:$D$91,MATCH('IEPR Gas Prices Nominal'!$B252,'GDP Deflator'!$B$6:$B$91,0)))</f>
        <v>4.7875148528043301</v>
      </c>
      <c r="K252" s="91">
        <f>'IEPR Gas Prices Real'!K254*(INDEX('GDP Deflator'!$D$6:$D$91,MATCH('IEPR Gas Prices Nominal'!$B252,'GDP Deflator'!$B$6:$B$91,0)))</f>
        <v>12.815992267071239</v>
      </c>
      <c r="L252" s="91">
        <f>'IEPR Gas Prices Real'!L254*(INDEX('GDP Deflator'!$D$6:$D$91,MATCH('IEPR Gas Prices Nominal'!$B252,'GDP Deflator'!$B$6:$B$91,0)))</f>
        <v>8.3225104665632106</v>
      </c>
      <c r="M252" s="91">
        <f>'IEPR Gas Prices Real'!M254*(INDEX('GDP Deflator'!$D$6:$D$91,MATCH('IEPR Gas Prices Nominal'!$B252,'GDP Deflator'!$B$6:$B$91,0)))</f>
        <v>2.2609234571746404</v>
      </c>
      <c r="N252" s="91">
        <f>'IEPR Gas Prices Real'!N254*(INDEX('GDP Deflator'!$D$6:$D$91,MATCH('IEPR Gas Prices Nominal'!$B252,'GDP Deflator'!$B$6:$B$91,0)))</f>
        <v>10.583433923737852</v>
      </c>
      <c r="O252" s="19"/>
      <c r="P252" s="229">
        <f t="shared" si="22"/>
        <v>8.0016991270980409</v>
      </c>
      <c r="Q252" s="229">
        <f t="shared" si="26"/>
        <v>11.317625906240679</v>
      </c>
      <c r="R252" s="144"/>
    </row>
    <row r="253" spans="2:18">
      <c r="B253" s="142">
        <f t="shared" si="23"/>
        <v>2042</v>
      </c>
      <c r="C253" s="19">
        <f t="shared" si="24"/>
        <v>8</v>
      </c>
      <c r="D253" s="143">
        <v>52079</v>
      </c>
      <c r="E253" s="19" t="str">
        <f t="shared" si="25"/>
        <v>8-2042</v>
      </c>
      <c r="F253" s="91">
        <f>'IEPR Gas Prices Real'!F255*(INDEX('GDP Deflator'!$D$6:$D$91,MATCH('IEPR Gas Prices Nominal'!$B253,'GDP Deflator'!$B$6:$B$91,0)))</f>
        <v>7.5948774746823622</v>
      </c>
      <c r="G253" s="91">
        <f>'IEPR Gas Prices Real'!G255*(INDEX('GDP Deflator'!$D$6:$D$91,MATCH('IEPR Gas Prices Nominal'!$B253,'GDP Deflator'!$B$6:$B$91,0)))</f>
        <v>2.8993420274489448</v>
      </c>
      <c r="H253" s="91">
        <f>'IEPR Gas Prices Real'!H255*(INDEX('GDP Deflator'!$D$6:$D$91,MATCH('IEPR Gas Prices Nominal'!$B253,'GDP Deflator'!$B$6:$B$91,0)))</f>
        <v>10.494219502131306</v>
      </c>
      <c r="I253" s="91">
        <f>'IEPR Gas Prices Real'!I255*(INDEX('GDP Deflator'!$D$6:$D$91,MATCH('IEPR Gas Prices Nominal'!$B253,'GDP Deflator'!$B$6:$B$91,0)))</f>
        <v>7.9662538788295985</v>
      </c>
      <c r="J253" s="91">
        <f>'IEPR Gas Prices Real'!J255*(INDEX('GDP Deflator'!$D$6:$D$91,MATCH('IEPR Gas Prices Nominal'!$B253,'GDP Deflator'!$B$6:$B$91,0)))</f>
        <v>4.7875148528043301</v>
      </c>
      <c r="K253" s="91">
        <f>'IEPR Gas Prices Real'!K255*(INDEX('GDP Deflator'!$D$6:$D$91,MATCH('IEPR Gas Prices Nominal'!$B253,'GDP Deflator'!$B$6:$B$91,0)))</f>
        <v>12.753768731633928</v>
      </c>
      <c r="L253" s="91">
        <f>'IEPR Gas Prices Real'!L255*(INDEX('GDP Deflator'!$D$6:$D$91,MATCH('IEPR Gas Prices Nominal'!$B253,'GDP Deflator'!$B$6:$B$91,0)))</f>
        <v>8.2580115415218653</v>
      </c>
      <c r="M253" s="91">
        <f>'IEPR Gas Prices Real'!M255*(INDEX('GDP Deflator'!$D$6:$D$91,MATCH('IEPR Gas Prices Nominal'!$B253,'GDP Deflator'!$B$6:$B$91,0)))</f>
        <v>2.2609234571746404</v>
      </c>
      <c r="N253" s="91">
        <f>'IEPR Gas Prices Real'!N255*(INDEX('GDP Deflator'!$D$6:$D$91,MATCH('IEPR Gas Prices Nominal'!$B253,'GDP Deflator'!$B$6:$B$91,0)))</f>
        <v>10.518934998696507</v>
      </c>
      <c r="O253" s="19"/>
      <c r="P253" s="229">
        <f t="shared" si="22"/>
        <v>7.939714298344609</v>
      </c>
      <c r="Q253" s="229">
        <f t="shared" si="26"/>
        <v>11.255641077487248</v>
      </c>
      <c r="R253" s="144"/>
    </row>
    <row r="254" spans="2:18">
      <c r="B254" s="142">
        <f t="shared" si="23"/>
        <v>2042</v>
      </c>
      <c r="C254" s="19">
        <f t="shared" si="24"/>
        <v>9</v>
      </c>
      <c r="D254" s="143">
        <v>52110</v>
      </c>
      <c r="E254" s="19" t="str">
        <f t="shared" si="25"/>
        <v>9-2042</v>
      </c>
      <c r="F254" s="91">
        <f>'IEPR Gas Prices Real'!F256*(INDEX('GDP Deflator'!$D$6:$D$91,MATCH('IEPR Gas Prices Nominal'!$B254,'GDP Deflator'!$B$6:$B$91,0)))</f>
        <v>7.7015935374571223</v>
      </c>
      <c r="G254" s="91">
        <f>'IEPR Gas Prices Real'!G256*(INDEX('GDP Deflator'!$D$6:$D$91,MATCH('IEPR Gas Prices Nominal'!$B254,'GDP Deflator'!$B$6:$B$91,0)))</f>
        <v>2.8993420274489448</v>
      </c>
      <c r="H254" s="91">
        <f>'IEPR Gas Prices Real'!H256*(INDEX('GDP Deflator'!$D$6:$D$91,MATCH('IEPR Gas Prices Nominal'!$B254,'GDP Deflator'!$B$6:$B$91,0)))</f>
        <v>10.600935564906067</v>
      </c>
      <c r="I254" s="91">
        <f>'IEPR Gas Prices Real'!I256*(INDEX('GDP Deflator'!$D$6:$D$91,MATCH('IEPR Gas Prices Nominal'!$B254,'GDP Deflator'!$B$6:$B$91,0)))</f>
        <v>8.0780924059607688</v>
      </c>
      <c r="J254" s="91">
        <f>'IEPR Gas Prices Real'!J256*(INDEX('GDP Deflator'!$D$6:$D$91,MATCH('IEPR Gas Prices Nominal'!$B254,'GDP Deflator'!$B$6:$B$91,0)))</f>
        <v>4.7875148528043301</v>
      </c>
      <c r="K254" s="91">
        <f>'IEPR Gas Prices Real'!K256*(INDEX('GDP Deflator'!$D$6:$D$91,MATCH('IEPR Gas Prices Nominal'!$B254,'GDP Deflator'!$B$6:$B$91,0)))</f>
        <v>12.865607258765099</v>
      </c>
      <c r="L254" s="91">
        <f>'IEPR Gas Prices Real'!L256*(INDEX('GDP Deflator'!$D$6:$D$91,MATCH('IEPR Gas Prices Nominal'!$B254,'GDP Deflator'!$B$6:$B$91,0)))</f>
        <v>8.3739495846599201</v>
      </c>
      <c r="M254" s="91">
        <f>'IEPR Gas Prices Real'!M256*(INDEX('GDP Deflator'!$D$6:$D$91,MATCH('IEPR Gas Prices Nominal'!$B254,'GDP Deflator'!$B$6:$B$91,0)))</f>
        <v>2.2609234571746404</v>
      </c>
      <c r="N254" s="91">
        <f>'IEPR Gas Prices Real'!N256*(INDEX('GDP Deflator'!$D$6:$D$91,MATCH('IEPR Gas Prices Nominal'!$B254,'GDP Deflator'!$B$6:$B$91,0)))</f>
        <v>10.63487304183456</v>
      </c>
      <c r="O254" s="19"/>
      <c r="P254" s="229">
        <f t="shared" si="22"/>
        <v>8.051211842692604</v>
      </c>
      <c r="Q254" s="229">
        <f t="shared" si="26"/>
        <v>11.367138621835243</v>
      </c>
      <c r="R254" s="144"/>
    </row>
    <row r="255" spans="2:18">
      <c r="B255" s="142">
        <f t="shared" si="23"/>
        <v>2042</v>
      </c>
      <c r="C255" s="19">
        <f t="shared" si="24"/>
        <v>10</v>
      </c>
      <c r="D255" s="143">
        <v>52140</v>
      </c>
      <c r="E255" s="19" t="str">
        <f t="shared" si="25"/>
        <v>10-2042</v>
      </c>
      <c r="F255" s="91">
        <f>'IEPR Gas Prices Real'!F257*(INDEX('GDP Deflator'!$D$6:$D$91,MATCH('IEPR Gas Prices Nominal'!$B255,'GDP Deflator'!$B$6:$B$91,0)))</f>
        <v>7.6571011686523009</v>
      </c>
      <c r="G255" s="91">
        <f>'IEPR Gas Prices Real'!G257*(INDEX('GDP Deflator'!$D$6:$D$91,MATCH('IEPR Gas Prices Nominal'!$B255,'GDP Deflator'!$B$6:$B$91,0)))</f>
        <v>2.8993420274489448</v>
      </c>
      <c r="H255" s="91">
        <f>'IEPR Gas Prices Real'!H257*(INDEX('GDP Deflator'!$D$6:$D$91,MATCH('IEPR Gas Prices Nominal'!$B255,'GDP Deflator'!$B$6:$B$91,0)))</f>
        <v>10.556443196101245</v>
      </c>
      <c r="I255" s="91">
        <f>'IEPR Gas Prices Real'!I257*(INDEX('GDP Deflator'!$D$6:$D$91,MATCH('IEPR Gas Prices Nominal'!$B255,'GDP Deflator'!$B$6:$B$91,0)))</f>
        <v>8.0313297658603346</v>
      </c>
      <c r="J255" s="91">
        <f>'IEPR Gas Prices Real'!J257*(INDEX('GDP Deflator'!$D$6:$D$91,MATCH('IEPR Gas Prices Nominal'!$B255,'GDP Deflator'!$B$6:$B$91,0)))</f>
        <v>4.7875148528043301</v>
      </c>
      <c r="K255" s="91">
        <f>'IEPR Gas Prices Real'!K257*(INDEX('GDP Deflator'!$D$6:$D$91,MATCH('IEPR Gas Prices Nominal'!$B255,'GDP Deflator'!$B$6:$B$91,0)))</f>
        <v>12.818844618664665</v>
      </c>
      <c r="L255" s="91">
        <f>'IEPR Gas Prices Real'!L257*(INDEX('GDP Deflator'!$D$6:$D$91,MATCH('IEPR Gas Prices Nominal'!$B255,'GDP Deflator'!$B$6:$B$91,0)))</f>
        <v>8.3254777796778239</v>
      </c>
      <c r="M255" s="91">
        <f>'IEPR Gas Prices Real'!M257*(INDEX('GDP Deflator'!$D$6:$D$91,MATCH('IEPR Gas Prices Nominal'!$B255,'GDP Deflator'!$B$6:$B$91,0)))</f>
        <v>2.2609234571746404</v>
      </c>
      <c r="N255" s="91">
        <f>'IEPR Gas Prices Real'!N257*(INDEX('GDP Deflator'!$D$6:$D$91,MATCH('IEPR Gas Prices Nominal'!$B255,'GDP Deflator'!$B$6:$B$91,0)))</f>
        <v>10.586401236852463</v>
      </c>
      <c r="O255" s="19"/>
      <c r="P255" s="229">
        <f t="shared" si="22"/>
        <v>8.004636238063485</v>
      </c>
      <c r="Q255" s="229">
        <f t="shared" si="26"/>
        <v>11.320563017206126</v>
      </c>
      <c r="R255" s="144"/>
    </row>
    <row r="256" spans="2:18">
      <c r="B256" s="142">
        <f t="shared" si="23"/>
        <v>2042</v>
      </c>
      <c r="C256" s="19">
        <f t="shared" si="24"/>
        <v>11</v>
      </c>
      <c r="D256" s="143">
        <v>52171</v>
      </c>
      <c r="E256" s="19" t="str">
        <f t="shared" si="25"/>
        <v>11-2042</v>
      </c>
      <c r="F256" s="91">
        <f>'IEPR Gas Prices Real'!F258*(INDEX('GDP Deflator'!$D$6:$D$91,MATCH('IEPR Gas Prices Nominal'!$B256,'GDP Deflator'!$B$6:$B$91,0)))</f>
        <v>8.0354500855013473</v>
      </c>
      <c r="G256" s="91">
        <f>'IEPR Gas Prices Real'!G258*(INDEX('GDP Deflator'!$D$6:$D$91,MATCH('IEPR Gas Prices Nominal'!$B256,'GDP Deflator'!$B$6:$B$91,0)))</f>
        <v>2.8993420274489448</v>
      </c>
      <c r="H256" s="91">
        <f>'IEPR Gas Prices Real'!H258*(INDEX('GDP Deflator'!$D$6:$D$91,MATCH('IEPR Gas Prices Nominal'!$B256,'GDP Deflator'!$B$6:$B$91,0)))</f>
        <v>10.934792112950293</v>
      </c>
      <c r="I256" s="91">
        <f>'IEPR Gas Prices Real'!I258*(INDEX('GDP Deflator'!$D$6:$D$91,MATCH('IEPR Gas Prices Nominal'!$B256,'GDP Deflator'!$B$6:$B$91,0)))</f>
        <v>8.4280699411521844</v>
      </c>
      <c r="J256" s="91">
        <f>'IEPR Gas Prices Real'!J258*(INDEX('GDP Deflator'!$D$6:$D$91,MATCH('IEPR Gas Prices Nominal'!$B256,'GDP Deflator'!$B$6:$B$91,0)))</f>
        <v>4.7875148528043301</v>
      </c>
      <c r="K256" s="91">
        <f>'IEPR Gas Prices Real'!K258*(INDEX('GDP Deflator'!$D$6:$D$91,MATCH('IEPR Gas Prices Nominal'!$B256,'GDP Deflator'!$B$6:$B$91,0)))</f>
        <v>13.215584793956515</v>
      </c>
      <c r="L256" s="91">
        <f>'IEPR Gas Prices Real'!L258*(INDEX('GDP Deflator'!$D$6:$D$91,MATCH('IEPR Gas Prices Nominal'!$B256,'GDP Deflator'!$B$6:$B$91,0)))</f>
        <v>8.7367522646954132</v>
      </c>
      <c r="M256" s="91">
        <f>'IEPR Gas Prices Real'!M258*(INDEX('GDP Deflator'!$D$6:$D$91,MATCH('IEPR Gas Prices Nominal'!$B256,'GDP Deflator'!$B$6:$B$91,0)))</f>
        <v>2.2609234571746404</v>
      </c>
      <c r="N256" s="91">
        <f>'IEPR Gas Prices Real'!N258*(INDEX('GDP Deflator'!$D$6:$D$91,MATCH('IEPR Gas Prices Nominal'!$B256,'GDP Deflator'!$B$6:$B$91,0)))</f>
        <v>10.997675721870054</v>
      </c>
      <c r="O256" s="19"/>
      <c r="P256" s="229">
        <f t="shared" si="22"/>
        <v>8.4000907637829823</v>
      </c>
      <c r="Q256" s="229">
        <f t="shared" si="26"/>
        <v>11.71601754292562</v>
      </c>
      <c r="R256" s="144"/>
    </row>
    <row r="257" spans="2:18">
      <c r="B257" s="142">
        <f t="shared" si="23"/>
        <v>2042</v>
      </c>
      <c r="C257" s="19">
        <f t="shared" si="24"/>
        <v>12</v>
      </c>
      <c r="D257" s="143">
        <v>52201</v>
      </c>
      <c r="E257" s="19" t="str">
        <f t="shared" si="25"/>
        <v>12-2042</v>
      </c>
      <c r="F257" s="91">
        <f>'IEPR Gas Prices Real'!F259*(INDEX('GDP Deflator'!$D$6:$D$91,MATCH('IEPR Gas Prices Nominal'!$B257,'GDP Deflator'!$B$6:$B$91,0)))</f>
        <v>8.0999646395242095</v>
      </c>
      <c r="G257" s="91">
        <f>'IEPR Gas Prices Real'!G259*(INDEX('GDP Deflator'!$D$6:$D$91,MATCH('IEPR Gas Prices Nominal'!$B257,'GDP Deflator'!$B$6:$B$91,0)))</f>
        <v>2.8993420274489448</v>
      </c>
      <c r="H257" s="91">
        <f>'IEPR Gas Prices Real'!H259*(INDEX('GDP Deflator'!$D$6:$D$91,MATCH('IEPR Gas Prices Nominal'!$B257,'GDP Deflator'!$B$6:$B$91,0)))</f>
        <v>10.999306666973153</v>
      </c>
      <c r="I257" s="91">
        <f>'IEPR Gas Prices Real'!I259*(INDEX('GDP Deflator'!$D$6:$D$91,MATCH('IEPR Gas Prices Nominal'!$B257,'GDP Deflator'!$B$6:$B$91,0)))</f>
        <v>8.4956359839134645</v>
      </c>
      <c r="J257" s="91">
        <f>'IEPR Gas Prices Real'!J259*(INDEX('GDP Deflator'!$D$6:$D$91,MATCH('IEPR Gas Prices Nominal'!$B257,'GDP Deflator'!$B$6:$B$91,0)))</f>
        <v>4.7875148528043301</v>
      </c>
      <c r="K257" s="91">
        <f>'IEPR Gas Prices Real'!K259*(INDEX('GDP Deflator'!$D$6:$D$91,MATCH('IEPR Gas Prices Nominal'!$B257,'GDP Deflator'!$B$6:$B$91,0)))</f>
        <v>13.283150836717795</v>
      </c>
      <c r="L257" s="91">
        <f>'IEPR Gas Prices Real'!L259*(INDEX('GDP Deflator'!$D$6:$D$91,MATCH('IEPR Gas Prices Nominal'!$B257,'GDP Deflator'!$B$6:$B$91,0)))</f>
        <v>8.8067966509777325</v>
      </c>
      <c r="M257" s="91">
        <f>'IEPR Gas Prices Real'!M259*(INDEX('GDP Deflator'!$D$6:$D$91,MATCH('IEPR Gas Prices Nominal'!$B257,'GDP Deflator'!$B$6:$B$91,0)))</f>
        <v>2.2609234571746404</v>
      </c>
      <c r="N257" s="91">
        <f>'IEPR Gas Prices Real'!N259*(INDEX('GDP Deflator'!$D$6:$D$91,MATCH('IEPR Gas Prices Nominal'!$B257,'GDP Deflator'!$B$6:$B$91,0)))</f>
        <v>11.067720108152374</v>
      </c>
      <c r="O257" s="19"/>
      <c r="P257" s="229">
        <f t="shared" si="22"/>
        <v>8.4674657581384682</v>
      </c>
      <c r="Q257" s="229">
        <f t="shared" si="26"/>
        <v>11.783392537281108</v>
      </c>
      <c r="R257" s="144"/>
    </row>
    <row r="258" spans="2:18">
      <c r="B258" s="142">
        <f t="shared" si="23"/>
        <v>2043</v>
      </c>
      <c r="C258" s="19">
        <f t="shared" si="24"/>
        <v>1</v>
      </c>
      <c r="D258" s="143">
        <v>52232</v>
      </c>
      <c r="E258" s="19" t="str">
        <f t="shared" si="25"/>
        <v>1-2043</v>
      </c>
      <c r="F258" s="91">
        <f>'IEPR Gas Prices Real'!F260*(INDEX('GDP Deflator'!$D$6:$D$91,MATCH('IEPR Gas Prices Nominal'!$B258,'GDP Deflator'!$B$6:$B$91,0)))</f>
        <v>8.2843085260842457</v>
      </c>
      <c r="G258" s="91">
        <f>'IEPR Gas Prices Real'!G260*(INDEX('GDP Deflator'!$D$6:$D$91,MATCH('IEPR Gas Prices Nominal'!$B258,'GDP Deflator'!$B$6:$B$91,0)))</f>
        <v>3.0833948746277979</v>
      </c>
      <c r="H258" s="91">
        <f>'IEPR Gas Prices Real'!H260*(INDEX('GDP Deflator'!$D$6:$D$91,MATCH('IEPR Gas Prices Nominal'!$B258,'GDP Deflator'!$B$6:$B$91,0)))</f>
        <v>11.367703400712044</v>
      </c>
      <c r="I258" s="91">
        <f>'IEPR Gas Prices Real'!I260*(INDEX('GDP Deflator'!$D$6:$D$91,MATCH('IEPR Gas Prices Nominal'!$B258,'GDP Deflator'!$B$6:$B$91,0)))</f>
        <v>8.6888865985098818</v>
      </c>
      <c r="J258" s="91">
        <f>'IEPR Gas Prices Real'!J260*(INDEX('GDP Deflator'!$D$6:$D$91,MATCH('IEPR Gas Prices Nominal'!$B258,'GDP Deflator'!$B$6:$B$91,0)))</f>
        <v>5.092092964929007</v>
      </c>
      <c r="K258" s="91">
        <f>'IEPR Gas Prices Real'!K260*(INDEX('GDP Deflator'!$D$6:$D$91,MATCH('IEPR Gas Prices Nominal'!$B258,'GDP Deflator'!$B$6:$B$91,0)))</f>
        <v>13.780979563438891</v>
      </c>
      <c r="L258" s="91">
        <f>'IEPR Gas Prices Real'!L260*(INDEX('GDP Deflator'!$D$6:$D$91,MATCH('IEPR Gas Prices Nominal'!$B258,'GDP Deflator'!$B$6:$B$91,0)))</f>
        <v>9.007129308621769</v>
      </c>
      <c r="M258" s="91">
        <f>'IEPR Gas Prices Real'!M260*(INDEX('GDP Deflator'!$D$6:$D$91,MATCH('IEPR Gas Prices Nominal'!$B258,'GDP Deflator'!$B$6:$B$91,0)))</f>
        <v>2.4047617155230783</v>
      </c>
      <c r="N258" s="91">
        <f>'IEPR Gas Prices Real'!N260*(INDEX('GDP Deflator'!$D$6:$D$91,MATCH('IEPR Gas Prices Nominal'!$B258,'GDP Deflator'!$B$6:$B$91,0)))</f>
        <v>11.411891024144847</v>
      </c>
      <c r="O258" s="19"/>
      <c r="P258" s="229">
        <f t="shared" si="22"/>
        <v>8.6601081444052994</v>
      </c>
      <c r="Q258" s="229">
        <f t="shared" si="26"/>
        <v>12.186857996098595</v>
      </c>
      <c r="R258" s="144"/>
    </row>
    <row r="259" spans="2:18">
      <c r="B259" s="142">
        <f t="shared" si="23"/>
        <v>2043</v>
      </c>
      <c r="C259" s="19">
        <f t="shared" si="24"/>
        <v>2</v>
      </c>
      <c r="D259" s="143">
        <v>52263</v>
      </c>
      <c r="E259" s="19" t="str">
        <f t="shared" si="25"/>
        <v>2-2043</v>
      </c>
      <c r="F259" s="91">
        <f>'IEPR Gas Prices Real'!F261*(INDEX('GDP Deflator'!$D$6:$D$91,MATCH('IEPR Gas Prices Nominal'!$B259,'GDP Deflator'!$B$6:$B$91,0)))</f>
        <v>8.1025799793887181</v>
      </c>
      <c r="G259" s="91">
        <f>'IEPR Gas Prices Real'!G261*(INDEX('GDP Deflator'!$D$6:$D$91,MATCH('IEPR Gas Prices Nominal'!$B259,'GDP Deflator'!$B$6:$B$91,0)))</f>
        <v>3.0833948746277979</v>
      </c>
      <c r="H259" s="91">
        <f>'IEPR Gas Prices Real'!H261*(INDEX('GDP Deflator'!$D$6:$D$91,MATCH('IEPR Gas Prices Nominal'!$B259,'GDP Deflator'!$B$6:$B$91,0)))</f>
        <v>11.185974854016516</v>
      </c>
      <c r="I259" s="91">
        <f>'IEPR Gas Prices Real'!I261*(INDEX('GDP Deflator'!$D$6:$D$91,MATCH('IEPR Gas Prices Nominal'!$B259,'GDP Deflator'!$B$6:$B$91,0)))</f>
        <v>8.4981869786227993</v>
      </c>
      <c r="J259" s="91">
        <f>'IEPR Gas Prices Real'!J261*(INDEX('GDP Deflator'!$D$6:$D$91,MATCH('IEPR Gas Prices Nominal'!$B259,'GDP Deflator'!$B$6:$B$91,0)))</f>
        <v>5.092092964929007</v>
      </c>
      <c r="K259" s="91">
        <f>'IEPR Gas Prices Real'!K261*(INDEX('GDP Deflator'!$D$6:$D$91,MATCH('IEPR Gas Prices Nominal'!$B259,'GDP Deflator'!$B$6:$B$91,0)))</f>
        <v>13.590279943551804</v>
      </c>
      <c r="L259" s="91">
        <f>'IEPR Gas Prices Real'!L261*(INDEX('GDP Deflator'!$D$6:$D$91,MATCH('IEPR Gas Prices Nominal'!$B259,'GDP Deflator'!$B$6:$B$91,0)))</f>
        <v>8.8094490153483918</v>
      </c>
      <c r="M259" s="91">
        <f>'IEPR Gas Prices Real'!M261*(INDEX('GDP Deflator'!$D$6:$D$91,MATCH('IEPR Gas Prices Nominal'!$B259,'GDP Deflator'!$B$6:$B$91,0)))</f>
        <v>2.4047617155230783</v>
      </c>
      <c r="N259" s="91">
        <f>'IEPR Gas Prices Real'!N261*(INDEX('GDP Deflator'!$D$6:$D$91,MATCH('IEPR Gas Prices Nominal'!$B259,'GDP Deflator'!$B$6:$B$91,0)))</f>
        <v>11.21421073087147</v>
      </c>
      <c r="O259" s="19"/>
      <c r="P259" s="229">
        <f t="shared" si="22"/>
        <v>8.4700719911199709</v>
      </c>
      <c r="Q259" s="229">
        <f t="shared" si="26"/>
        <v>11.996821842813263</v>
      </c>
      <c r="R259" s="144"/>
    </row>
    <row r="260" spans="2:18">
      <c r="B260" s="142">
        <f t="shared" si="23"/>
        <v>2043</v>
      </c>
      <c r="C260" s="19">
        <f t="shared" si="24"/>
        <v>3</v>
      </c>
      <c r="D260" s="143">
        <v>52291</v>
      </c>
      <c r="E260" s="19" t="str">
        <f t="shared" si="25"/>
        <v>3-2043</v>
      </c>
      <c r="F260" s="91">
        <f>'IEPR Gas Prices Real'!F262*(INDEX('GDP Deflator'!$D$6:$D$91,MATCH('IEPR Gas Prices Nominal'!$B260,'GDP Deflator'!$B$6:$B$91,0)))</f>
        <v>7.4381025632829179</v>
      </c>
      <c r="G260" s="91">
        <f>'IEPR Gas Prices Real'!G262*(INDEX('GDP Deflator'!$D$6:$D$91,MATCH('IEPR Gas Prices Nominal'!$B260,'GDP Deflator'!$B$6:$B$91,0)))</f>
        <v>3.0833948746277979</v>
      </c>
      <c r="H260" s="91">
        <f>'IEPR Gas Prices Real'!H262*(INDEX('GDP Deflator'!$D$6:$D$91,MATCH('IEPR Gas Prices Nominal'!$B260,'GDP Deflator'!$B$6:$B$91,0)))</f>
        <v>10.521497437910716</v>
      </c>
      <c r="I260" s="91">
        <f>'IEPR Gas Prices Real'!I262*(INDEX('GDP Deflator'!$D$6:$D$91,MATCH('IEPR Gas Prices Nominal'!$B260,'GDP Deflator'!$B$6:$B$91,0)))</f>
        <v>7.8011783855509638</v>
      </c>
      <c r="J260" s="91">
        <f>'IEPR Gas Prices Real'!J262*(INDEX('GDP Deflator'!$D$6:$D$91,MATCH('IEPR Gas Prices Nominal'!$B260,'GDP Deflator'!$B$6:$B$91,0)))</f>
        <v>5.092092964929007</v>
      </c>
      <c r="K260" s="91">
        <f>'IEPR Gas Prices Real'!K262*(INDEX('GDP Deflator'!$D$6:$D$91,MATCH('IEPR Gas Prices Nominal'!$B260,'GDP Deflator'!$B$6:$B$91,0)))</f>
        <v>12.893271350479973</v>
      </c>
      <c r="L260" s="91">
        <f>'IEPR Gas Prices Real'!L262*(INDEX('GDP Deflator'!$D$6:$D$91,MATCH('IEPR Gas Prices Nominal'!$B260,'GDP Deflator'!$B$6:$B$91,0)))</f>
        <v>8.0869148190445284</v>
      </c>
      <c r="M260" s="91">
        <f>'IEPR Gas Prices Real'!M262*(INDEX('GDP Deflator'!$D$6:$D$91,MATCH('IEPR Gas Prices Nominal'!$B260,'GDP Deflator'!$B$6:$B$91,0)))</f>
        <v>2.4047617155230783</v>
      </c>
      <c r="N260" s="91">
        <f>'IEPR Gas Prices Real'!N262*(INDEX('GDP Deflator'!$D$6:$D$91,MATCH('IEPR Gas Prices Nominal'!$B260,'GDP Deflator'!$B$6:$B$91,0)))</f>
        <v>10.491676534567606</v>
      </c>
      <c r="O260" s="19"/>
      <c r="P260" s="229">
        <f t="shared" si="22"/>
        <v>7.775398589292803</v>
      </c>
      <c r="Q260" s="229">
        <f t="shared" si="26"/>
        <v>11.302148440986096</v>
      </c>
      <c r="R260" s="144"/>
    </row>
    <row r="261" spans="2:18">
      <c r="B261" s="142">
        <f t="shared" si="23"/>
        <v>2043</v>
      </c>
      <c r="C261" s="19">
        <f t="shared" si="24"/>
        <v>4</v>
      </c>
      <c r="D261" s="143">
        <v>52322</v>
      </c>
      <c r="E261" s="19" t="str">
        <f t="shared" si="25"/>
        <v>4-2043</v>
      </c>
      <c r="F261" s="91">
        <f>'IEPR Gas Prices Real'!F263*(INDEX('GDP Deflator'!$D$6:$D$91,MATCH('IEPR Gas Prices Nominal'!$B261,'GDP Deflator'!$B$6:$B$91,0)))</f>
        <v>7.3114538799190409</v>
      </c>
      <c r="G261" s="91">
        <f>'IEPR Gas Prices Real'!G263*(INDEX('GDP Deflator'!$D$6:$D$91,MATCH('IEPR Gas Prices Nominal'!$B261,'GDP Deflator'!$B$6:$B$91,0)))</f>
        <v>3.0833948746277979</v>
      </c>
      <c r="H261" s="91">
        <f>'IEPR Gas Prices Real'!H263*(INDEX('GDP Deflator'!$D$6:$D$91,MATCH('IEPR Gas Prices Nominal'!$B261,'GDP Deflator'!$B$6:$B$91,0)))</f>
        <v>10.394848754546839</v>
      </c>
      <c r="I261" s="91">
        <f>'IEPR Gas Prices Real'!I263*(INDEX('GDP Deflator'!$D$6:$D$91,MATCH('IEPR Gas Prices Nominal'!$B261,'GDP Deflator'!$B$6:$B$91,0)))</f>
        <v>7.6682609095280245</v>
      </c>
      <c r="J261" s="91">
        <f>'IEPR Gas Prices Real'!J263*(INDEX('GDP Deflator'!$D$6:$D$91,MATCH('IEPR Gas Prices Nominal'!$B261,'GDP Deflator'!$B$6:$B$91,0)))</f>
        <v>5.092092964929007</v>
      </c>
      <c r="K261" s="91">
        <f>'IEPR Gas Prices Real'!K263*(INDEX('GDP Deflator'!$D$6:$D$91,MATCH('IEPR Gas Prices Nominal'!$B261,'GDP Deflator'!$B$6:$B$91,0)))</f>
        <v>12.760353874457032</v>
      </c>
      <c r="L261" s="91">
        <f>'IEPR Gas Prices Real'!L263*(INDEX('GDP Deflator'!$D$6:$D$91,MATCH('IEPR Gas Prices Nominal'!$B261,'GDP Deflator'!$B$6:$B$91,0)))</f>
        <v>7.9491325112209843</v>
      </c>
      <c r="M261" s="91">
        <f>'IEPR Gas Prices Real'!M263*(INDEX('GDP Deflator'!$D$6:$D$91,MATCH('IEPR Gas Prices Nominal'!$B261,'GDP Deflator'!$B$6:$B$91,0)))</f>
        <v>2.4047617155230783</v>
      </c>
      <c r="N261" s="91">
        <f>'IEPR Gas Prices Real'!N263*(INDEX('GDP Deflator'!$D$6:$D$91,MATCH('IEPR Gas Prices Nominal'!$B261,'GDP Deflator'!$B$6:$B$91,0)))</f>
        <v>10.353894226744062</v>
      </c>
      <c r="O261" s="19"/>
      <c r="P261" s="229">
        <f t="shared" si="22"/>
        <v>7.6429491002226833</v>
      </c>
      <c r="Q261" s="229">
        <f t="shared" si="26"/>
        <v>11.169698951915978</v>
      </c>
      <c r="R261" s="144"/>
    </row>
    <row r="262" spans="2:18">
      <c r="B262" s="142">
        <f t="shared" si="23"/>
        <v>2043</v>
      </c>
      <c r="C262" s="19">
        <f t="shared" si="24"/>
        <v>5</v>
      </c>
      <c r="D262" s="143">
        <v>52352</v>
      </c>
      <c r="E262" s="19" t="str">
        <f t="shared" si="25"/>
        <v>5-2043</v>
      </c>
      <c r="F262" s="91">
        <f>'IEPR Gas Prices Real'!F264*(INDEX('GDP Deflator'!$D$6:$D$91,MATCH('IEPR Gas Prices Nominal'!$B262,'GDP Deflator'!$B$6:$B$91,0)))</f>
        <v>7.565825035553706</v>
      </c>
      <c r="G262" s="91">
        <f>'IEPR Gas Prices Real'!G264*(INDEX('GDP Deflator'!$D$6:$D$91,MATCH('IEPR Gas Prices Nominal'!$B262,'GDP Deflator'!$B$6:$B$91,0)))</f>
        <v>3.0833948746277979</v>
      </c>
      <c r="H262" s="91">
        <f>'IEPR Gas Prices Real'!H264*(INDEX('GDP Deflator'!$D$6:$D$91,MATCH('IEPR Gas Prices Nominal'!$B262,'GDP Deflator'!$B$6:$B$91,0)))</f>
        <v>10.649219910181504</v>
      </c>
      <c r="I262" s="91">
        <f>'IEPR Gas Prices Real'!I264*(INDEX('GDP Deflator'!$D$6:$D$91,MATCH('IEPR Gas Prices Nominal'!$B262,'GDP Deflator'!$B$6:$B$91,0)))</f>
        <v>7.9349559376944656</v>
      </c>
      <c r="J262" s="91">
        <f>'IEPR Gas Prices Real'!J264*(INDEX('GDP Deflator'!$D$6:$D$91,MATCH('IEPR Gas Prices Nominal'!$B262,'GDP Deflator'!$B$6:$B$91,0)))</f>
        <v>5.092092964929007</v>
      </c>
      <c r="K262" s="91">
        <f>'IEPR Gas Prices Real'!K264*(INDEX('GDP Deflator'!$D$6:$D$91,MATCH('IEPR Gas Prices Nominal'!$B262,'GDP Deflator'!$B$6:$B$91,0)))</f>
        <v>13.027048902623473</v>
      </c>
      <c r="L262" s="91">
        <f>'IEPR Gas Prices Real'!L264*(INDEX('GDP Deflator'!$D$6:$D$91,MATCH('IEPR Gas Prices Nominal'!$B262,'GDP Deflator'!$B$6:$B$91,0)))</f>
        <v>8.2255997013351596</v>
      </c>
      <c r="M262" s="91">
        <f>'IEPR Gas Prices Real'!M264*(INDEX('GDP Deflator'!$D$6:$D$91,MATCH('IEPR Gas Prices Nominal'!$B262,'GDP Deflator'!$B$6:$B$91,0)))</f>
        <v>2.4047617155230783</v>
      </c>
      <c r="N262" s="91">
        <f>'IEPR Gas Prices Real'!N264*(INDEX('GDP Deflator'!$D$6:$D$91,MATCH('IEPR Gas Prices Nominal'!$B262,'GDP Deflator'!$B$6:$B$91,0)))</f>
        <v>10.630361416858237</v>
      </c>
      <c r="O262" s="19"/>
      <c r="P262" s="229">
        <f t="shared" ref="P262:P325" si="27">AVERAGE(F262,I262,L262)</f>
        <v>7.9087935581944437</v>
      </c>
      <c r="Q262" s="229">
        <f t="shared" si="26"/>
        <v>11.435543409887737</v>
      </c>
      <c r="R262" s="144"/>
    </row>
    <row r="263" spans="2:18">
      <c r="B263" s="142">
        <f t="shared" ref="B263:B326" si="28">YEAR(D263)</f>
        <v>2043</v>
      </c>
      <c r="C263" s="19">
        <f t="shared" ref="C263:C326" si="29">MONTH(D263)</f>
        <v>6</v>
      </c>
      <c r="D263" s="143">
        <v>52383</v>
      </c>
      <c r="E263" s="19" t="str">
        <f t="shared" ref="E263:E326" si="30">C263&amp;"-"&amp;B263</f>
        <v>6-2043</v>
      </c>
      <c r="F263" s="91">
        <f>'IEPR Gas Prices Real'!F265*(INDEX('GDP Deflator'!$D$6:$D$91,MATCH('IEPR Gas Prices Nominal'!$B263,'GDP Deflator'!$B$6:$B$91,0)))</f>
        <v>7.7613269346073812</v>
      </c>
      <c r="G263" s="91">
        <f>'IEPR Gas Prices Real'!G265*(INDEX('GDP Deflator'!$D$6:$D$91,MATCH('IEPR Gas Prices Nominal'!$B263,'GDP Deflator'!$B$6:$B$91,0)))</f>
        <v>3.0833948746277979</v>
      </c>
      <c r="H263" s="91">
        <f>'IEPR Gas Prices Real'!H265*(INDEX('GDP Deflator'!$D$6:$D$91,MATCH('IEPR Gas Prices Nominal'!$B263,'GDP Deflator'!$B$6:$B$91,0)))</f>
        <v>10.844721809235178</v>
      </c>
      <c r="I263" s="91">
        <f>'IEPR Gas Prices Real'!I265*(INDEX('GDP Deflator'!$D$6:$D$91,MATCH('IEPR Gas Prices Nominal'!$B263,'GDP Deflator'!$B$6:$B$91,0)))</f>
        <v>8.1399041778726247</v>
      </c>
      <c r="J263" s="91">
        <f>'IEPR Gas Prices Real'!J265*(INDEX('GDP Deflator'!$D$6:$D$91,MATCH('IEPR Gas Prices Nominal'!$B263,'GDP Deflator'!$B$6:$B$91,0)))</f>
        <v>5.092092964929007</v>
      </c>
      <c r="K263" s="91">
        <f>'IEPR Gas Prices Real'!K265*(INDEX('GDP Deflator'!$D$6:$D$91,MATCH('IEPR Gas Prices Nominal'!$B263,'GDP Deflator'!$B$6:$B$91,0)))</f>
        <v>13.231997142801633</v>
      </c>
      <c r="L263" s="91">
        <f>'IEPR Gas Prices Real'!L265*(INDEX('GDP Deflator'!$D$6:$D$91,MATCH('IEPR Gas Prices Nominal'!$B263,'GDP Deflator'!$B$6:$B$91,0)))</f>
        <v>8.4380586458527578</v>
      </c>
      <c r="M263" s="91">
        <f>'IEPR Gas Prices Real'!M265*(INDEX('GDP Deflator'!$D$6:$D$91,MATCH('IEPR Gas Prices Nominal'!$B263,'GDP Deflator'!$B$6:$B$91,0)))</f>
        <v>2.4047617155230783</v>
      </c>
      <c r="N263" s="91">
        <f>'IEPR Gas Prices Real'!N265*(INDEX('GDP Deflator'!$D$6:$D$91,MATCH('IEPR Gas Prices Nominal'!$B263,'GDP Deflator'!$B$6:$B$91,0)))</f>
        <v>10.842820361375836</v>
      </c>
      <c r="O263" s="19"/>
      <c r="P263" s="229">
        <f t="shared" si="27"/>
        <v>8.1130965861109203</v>
      </c>
      <c r="Q263" s="229">
        <f t="shared" ref="Q263:Q326" si="31">AVERAGE(H263,K263,N263)</f>
        <v>11.639846437804216</v>
      </c>
      <c r="R263" s="144"/>
    </row>
    <row r="264" spans="2:18">
      <c r="B264" s="142">
        <f t="shared" si="28"/>
        <v>2043</v>
      </c>
      <c r="C264" s="19">
        <f t="shared" si="29"/>
        <v>7</v>
      </c>
      <c r="D264" s="143">
        <v>52413</v>
      </c>
      <c r="E264" s="19" t="str">
        <f t="shared" si="30"/>
        <v>7-2043</v>
      </c>
      <c r="F264" s="91">
        <f>'IEPR Gas Prices Real'!F266*(INDEX('GDP Deflator'!$D$6:$D$91,MATCH('IEPR Gas Prices Nominal'!$B264,'GDP Deflator'!$B$6:$B$91,0)))</f>
        <v>7.8228103092562993</v>
      </c>
      <c r="G264" s="91">
        <f>'IEPR Gas Prices Real'!G266*(INDEX('GDP Deflator'!$D$6:$D$91,MATCH('IEPR Gas Prices Nominal'!$B264,'GDP Deflator'!$B$6:$B$91,0)))</f>
        <v>3.0833948746277979</v>
      </c>
      <c r="H264" s="91">
        <f>'IEPR Gas Prices Real'!H266*(INDEX('GDP Deflator'!$D$6:$D$91,MATCH('IEPR Gas Prices Nominal'!$B264,'GDP Deflator'!$B$6:$B$91,0)))</f>
        <v>10.906205183884097</v>
      </c>
      <c r="I264" s="91">
        <f>'IEPR Gas Prices Real'!I266*(INDEX('GDP Deflator'!$D$6:$D$91,MATCH('IEPR Gas Prices Nominal'!$B264,'GDP Deflator'!$B$6:$B$91,0)))</f>
        <v>8.2042937625460102</v>
      </c>
      <c r="J264" s="91">
        <f>'IEPR Gas Prices Real'!J266*(INDEX('GDP Deflator'!$D$6:$D$91,MATCH('IEPR Gas Prices Nominal'!$B264,'GDP Deflator'!$B$6:$B$91,0)))</f>
        <v>5.092092964929007</v>
      </c>
      <c r="K264" s="91">
        <f>'IEPR Gas Prices Real'!K266*(INDEX('GDP Deflator'!$D$6:$D$91,MATCH('IEPR Gas Prices Nominal'!$B264,'GDP Deflator'!$B$6:$B$91,0)))</f>
        <v>13.296386727475015</v>
      </c>
      <c r="L264" s="91">
        <f>'IEPR Gas Prices Real'!L266*(INDEX('GDP Deflator'!$D$6:$D$91,MATCH('IEPR Gas Prices Nominal'!$B264,'GDP Deflator'!$B$6:$B$91,0)))</f>
        <v>8.5048105741736109</v>
      </c>
      <c r="M264" s="91">
        <f>'IEPR Gas Prices Real'!M266*(INDEX('GDP Deflator'!$D$6:$D$91,MATCH('IEPR Gas Prices Nominal'!$B264,'GDP Deflator'!$B$6:$B$91,0)))</f>
        <v>2.4047617155230783</v>
      </c>
      <c r="N264" s="91">
        <f>'IEPR Gas Prices Real'!N266*(INDEX('GDP Deflator'!$D$6:$D$91,MATCH('IEPR Gas Prices Nominal'!$B264,'GDP Deflator'!$B$6:$B$91,0)))</f>
        <v>10.909572289696689</v>
      </c>
      <c r="O264" s="19"/>
      <c r="P264" s="229">
        <f t="shared" si="27"/>
        <v>8.177304881991974</v>
      </c>
      <c r="Q264" s="229">
        <f t="shared" si="31"/>
        <v>11.704054733685268</v>
      </c>
      <c r="R264" s="144"/>
    </row>
    <row r="265" spans="2:18">
      <c r="B265" s="142">
        <f t="shared" si="28"/>
        <v>2043</v>
      </c>
      <c r="C265" s="19">
        <f t="shared" si="29"/>
        <v>8</v>
      </c>
      <c r="D265" s="143">
        <v>52444</v>
      </c>
      <c r="E265" s="19" t="str">
        <f t="shared" si="30"/>
        <v>8-2043</v>
      </c>
      <c r="F265" s="91">
        <f>'IEPR Gas Prices Real'!F267*(INDEX('GDP Deflator'!$D$6:$D$91,MATCH('IEPR Gas Prices Nominal'!$B265,'GDP Deflator'!$B$6:$B$91,0)))</f>
        <v>7.762296425275375</v>
      </c>
      <c r="G265" s="91">
        <f>'IEPR Gas Prices Real'!G267*(INDEX('GDP Deflator'!$D$6:$D$91,MATCH('IEPR Gas Prices Nominal'!$B265,'GDP Deflator'!$B$6:$B$91,0)))</f>
        <v>3.0833948746277979</v>
      </c>
      <c r="H265" s="91">
        <f>'IEPR Gas Prices Real'!H267*(INDEX('GDP Deflator'!$D$6:$D$91,MATCH('IEPR Gas Prices Nominal'!$B265,'GDP Deflator'!$B$6:$B$91,0)))</f>
        <v>10.845691299903173</v>
      </c>
      <c r="I265" s="91">
        <f>'IEPR Gas Prices Real'!I267*(INDEX('GDP Deflator'!$D$6:$D$91,MATCH('IEPR Gas Prices Nominal'!$B265,'GDP Deflator'!$B$6:$B$91,0)))</f>
        <v>8.1407368068724129</v>
      </c>
      <c r="J265" s="91">
        <f>'IEPR Gas Prices Real'!J267*(INDEX('GDP Deflator'!$D$6:$D$91,MATCH('IEPR Gas Prices Nominal'!$B265,'GDP Deflator'!$B$6:$B$91,0)))</f>
        <v>5.092092964929007</v>
      </c>
      <c r="K265" s="91">
        <f>'IEPR Gas Prices Real'!K267*(INDEX('GDP Deflator'!$D$6:$D$91,MATCH('IEPR Gas Prices Nominal'!$B265,'GDP Deflator'!$B$6:$B$91,0)))</f>
        <v>13.23282977180142</v>
      </c>
      <c r="L265" s="91">
        <f>'IEPR Gas Prices Real'!L267*(INDEX('GDP Deflator'!$D$6:$D$91,MATCH('IEPR Gas Prices Nominal'!$B265,'GDP Deflator'!$B$6:$B$91,0)))</f>
        <v>8.4389293821386744</v>
      </c>
      <c r="M265" s="91">
        <f>'IEPR Gas Prices Real'!M267*(INDEX('GDP Deflator'!$D$6:$D$91,MATCH('IEPR Gas Prices Nominal'!$B265,'GDP Deflator'!$B$6:$B$91,0)))</f>
        <v>2.4047617155230783</v>
      </c>
      <c r="N265" s="91">
        <f>'IEPR Gas Prices Real'!N267*(INDEX('GDP Deflator'!$D$6:$D$91,MATCH('IEPR Gas Prices Nominal'!$B265,'GDP Deflator'!$B$6:$B$91,0)))</f>
        <v>10.843691097661752</v>
      </c>
      <c r="O265" s="19"/>
      <c r="P265" s="229">
        <f t="shared" si="27"/>
        <v>8.113987538095488</v>
      </c>
      <c r="Q265" s="229">
        <f t="shared" si="31"/>
        <v>11.640737389788782</v>
      </c>
      <c r="R265" s="144"/>
    </row>
    <row r="266" spans="2:18">
      <c r="B266" s="142">
        <f t="shared" si="28"/>
        <v>2043</v>
      </c>
      <c r="C266" s="19">
        <f t="shared" si="29"/>
        <v>9</v>
      </c>
      <c r="D266" s="143">
        <v>52475</v>
      </c>
      <c r="E266" s="19" t="str">
        <f t="shared" si="30"/>
        <v>9-2043</v>
      </c>
      <c r="F266" s="91">
        <f>'IEPR Gas Prices Real'!F268*(INDEX('GDP Deflator'!$D$6:$D$91,MATCH('IEPR Gas Prices Nominal'!$B266,'GDP Deflator'!$B$6:$B$91,0)))</f>
        <v>7.8713888848267288</v>
      </c>
      <c r="G266" s="91">
        <f>'IEPR Gas Prices Real'!G268*(INDEX('GDP Deflator'!$D$6:$D$91,MATCH('IEPR Gas Prices Nominal'!$B266,'GDP Deflator'!$B$6:$B$91,0)))</f>
        <v>3.0833948746277979</v>
      </c>
      <c r="H266" s="91">
        <f>'IEPR Gas Prices Real'!H268*(INDEX('GDP Deflator'!$D$6:$D$91,MATCH('IEPR Gas Prices Nominal'!$B266,'GDP Deflator'!$B$6:$B$91,0)))</f>
        <v>10.954783759454527</v>
      </c>
      <c r="I266" s="91">
        <f>'IEPR Gas Prices Real'!I268*(INDEX('GDP Deflator'!$D$6:$D$91,MATCH('IEPR Gas Prices Nominal'!$B266,'GDP Deflator'!$B$6:$B$91,0)))</f>
        <v>8.2550545389620762</v>
      </c>
      <c r="J266" s="91">
        <f>'IEPR Gas Prices Real'!J268*(INDEX('GDP Deflator'!$D$6:$D$91,MATCH('IEPR Gas Prices Nominal'!$B266,'GDP Deflator'!$B$6:$B$91,0)))</f>
        <v>5.092092964929007</v>
      </c>
      <c r="K266" s="91">
        <f>'IEPR Gas Prices Real'!K268*(INDEX('GDP Deflator'!$D$6:$D$91,MATCH('IEPR Gas Prices Nominal'!$B266,'GDP Deflator'!$B$6:$B$91,0)))</f>
        <v>13.347147503891085</v>
      </c>
      <c r="L266" s="91">
        <f>'IEPR Gas Prices Real'!L268*(INDEX('GDP Deflator'!$D$6:$D$91,MATCH('IEPR Gas Prices Nominal'!$B266,'GDP Deflator'!$B$6:$B$91,0)))</f>
        <v>8.5574383947883401</v>
      </c>
      <c r="M266" s="91">
        <f>'IEPR Gas Prices Real'!M268*(INDEX('GDP Deflator'!$D$6:$D$91,MATCH('IEPR Gas Prices Nominal'!$B266,'GDP Deflator'!$B$6:$B$91,0)))</f>
        <v>2.4047617155230783</v>
      </c>
      <c r="N266" s="91">
        <f>'IEPR Gas Prices Real'!N268*(INDEX('GDP Deflator'!$D$6:$D$91,MATCH('IEPR Gas Prices Nominal'!$B266,'GDP Deflator'!$B$6:$B$91,0)))</f>
        <v>10.962200110311418</v>
      </c>
      <c r="O266" s="19"/>
      <c r="P266" s="229">
        <f t="shared" si="27"/>
        <v>8.2279606061923829</v>
      </c>
      <c r="Q266" s="229">
        <f t="shared" si="31"/>
        <v>11.754710457885677</v>
      </c>
      <c r="R266" s="144"/>
    </row>
    <row r="267" spans="2:18">
      <c r="B267" s="142">
        <f t="shared" si="28"/>
        <v>2043</v>
      </c>
      <c r="C267" s="19">
        <f t="shared" si="29"/>
        <v>10</v>
      </c>
      <c r="D267" s="143">
        <v>52505</v>
      </c>
      <c r="E267" s="19" t="str">
        <f t="shared" si="30"/>
        <v>10-2043</v>
      </c>
      <c r="F267" s="91">
        <f>'IEPR Gas Prices Real'!F269*(INDEX('GDP Deflator'!$D$6:$D$91,MATCH('IEPR Gas Prices Nominal'!$B267,'GDP Deflator'!$B$6:$B$91,0)))</f>
        <v>7.8259394500572483</v>
      </c>
      <c r="G267" s="91">
        <f>'IEPR Gas Prices Real'!G269*(INDEX('GDP Deflator'!$D$6:$D$91,MATCH('IEPR Gas Prices Nominal'!$B267,'GDP Deflator'!$B$6:$B$91,0)))</f>
        <v>3.0833948746277979</v>
      </c>
      <c r="H267" s="91">
        <f>'IEPR Gas Prices Real'!H269*(INDEX('GDP Deflator'!$D$6:$D$91,MATCH('IEPR Gas Prices Nominal'!$B267,'GDP Deflator'!$B$6:$B$91,0)))</f>
        <v>10.909334324685046</v>
      </c>
      <c r="I267" s="91">
        <f>'IEPR Gas Prices Real'!I269*(INDEX('GDP Deflator'!$D$6:$D$91,MATCH('IEPR Gas Prices Nominal'!$B267,'GDP Deflator'!$B$6:$B$91,0)))</f>
        <v>8.2072969618372618</v>
      </c>
      <c r="J267" s="91">
        <f>'IEPR Gas Prices Real'!J269*(INDEX('GDP Deflator'!$D$6:$D$91,MATCH('IEPR Gas Prices Nominal'!$B267,'GDP Deflator'!$B$6:$B$91,0)))</f>
        <v>5.092092964929007</v>
      </c>
      <c r="K267" s="91">
        <f>'IEPR Gas Prices Real'!K269*(INDEX('GDP Deflator'!$D$6:$D$91,MATCH('IEPR Gas Prices Nominal'!$B267,'GDP Deflator'!$B$6:$B$91,0)))</f>
        <v>13.299389926766267</v>
      </c>
      <c r="L267" s="91">
        <f>'IEPR Gas Prices Real'!L269*(INDEX('GDP Deflator'!$D$6:$D$91,MATCH('IEPR Gas Prices Nominal'!$B267,'GDP Deflator'!$B$6:$B$91,0)))</f>
        <v>8.5079352875377321</v>
      </c>
      <c r="M267" s="91">
        <f>'IEPR Gas Prices Real'!M269*(INDEX('GDP Deflator'!$D$6:$D$91,MATCH('IEPR Gas Prices Nominal'!$B267,'GDP Deflator'!$B$6:$B$91,0)))</f>
        <v>2.4047617155230783</v>
      </c>
      <c r="N267" s="91">
        <f>'IEPR Gas Prices Real'!N269*(INDEX('GDP Deflator'!$D$6:$D$91,MATCH('IEPR Gas Prices Nominal'!$B267,'GDP Deflator'!$B$6:$B$91,0)))</f>
        <v>10.91269700306081</v>
      </c>
      <c r="O267" s="19"/>
      <c r="P267" s="229">
        <f t="shared" si="27"/>
        <v>8.1803905664774135</v>
      </c>
      <c r="Q267" s="229">
        <f t="shared" si="31"/>
        <v>11.707140418170709</v>
      </c>
      <c r="R267" s="144"/>
    </row>
    <row r="268" spans="2:18">
      <c r="B268" s="142">
        <f t="shared" si="28"/>
        <v>2043</v>
      </c>
      <c r="C268" s="19">
        <f t="shared" si="29"/>
        <v>11</v>
      </c>
      <c r="D268" s="143">
        <v>52536</v>
      </c>
      <c r="E268" s="19" t="str">
        <f t="shared" si="30"/>
        <v>11-2043</v>
      </c>
      <c r="F268" s="91">
        <f>'IEPR Gas Prices Real'!F270*(INDEX('GDP Deflator'!$D$6:$D$91,MATCH('IEPR Gas Prices Nominal'!$B268,'GDP Deflator'!$B$6:$B$91,0)))</f>
        <v>8.2126559497468925</v>
      </c>
      <c r="G268" s="91">
        <f>'IEPR Gas Prices Real'!G270*(INDEX('GDP Deflator'!$D$6:$D$91,MATCH('IEPR Gas Prices Nominal'!$B268,'GDP Deflator'!$B$6:$B$91,0)))</f>
        <v>3.0833948746277979</v>
      </c>
      <c r="H268" s="91">
        <f>'IEPR Gas Prices Real'!H270*(INDEX('GDP Deflator'!$D$6:$D$91,MATCH('IEPR Gas Prices Nominal'!$B268,'GDP Deflator'!$B$6:$B$91,0)))</f>
        <v>11.29605082437469</v>
      </c>
      <c r="I268" s="91">
        <f>'IEPR Gas Prices Real'!I270*(INDEX('GDP Deflator'!$D$6:$D$91,MATCH('IEPR Gas Prices Nominal'!$B268,'GDP Deflator'!$B$6:$B$91,0)))</f>
        <v>8.6127606770209262</v>
      </c>
      <c r="J268" s="91">
        <f>'IEPR Gas Prices Real'!J270*(INDEX('GDP Deflator'!$D$6:$D$91,MATCH('IEPR Gas Prices Nominal'!$B268,'GDP Deflator'!$B$6:$B$91,0)))</f>
        <v>5.092092964929007</v>
      </c>
      <c r="K268" s="91">
        <f>'IEPR Gas Prices Real'!K270*(INDEX('GDP Deflator'!$D$6:$D$91,MATCH('IEPR Gas Prices Nominal'!$B268,'GDP Deflator'!$B$6:$B$91,0)))</f>
        <v>13.704853641949935</v>
      </c>
      <c r="L268" s="91">
        <f>'IEPR Gas Prices Real'!L270*(INDEX('GDP Deflator'!$D$6:$D$91,MATCH('IEPR Gas Prices Nominal'!$B268,'GDP Deflator'!$B$6:$B$91,0)))</f>
        <v>8.928255414488067</v>
      </c>
      <c r="M268" s="91">
        <f>'IEPR Gas Prices Real'!M270*(INDEX('GDP Deflator'!$D$6:$D$91,MATCH('IEPR Gas Prices Nominal'!$B268,'GDP Deflator'!$B$6:$B$91,0)))</f>
        <v>2.4047617155230783</v>
      </c>
      <c r="N268" s="91">
        <f>'IEPR Gas Prices Real'!N270*(INDEX('GDP Deflator'!$D$6:$D$91,MATCH('IEPR Gas Prices Nominal'!$B268,'GDP Deflator'!$B$6:$B$91,0)))</f>
        <v>11.333017130011145</v>
      </c>
      <c r="O268" s="19"/>
      <c r="P268" s="229">
        <f t="shared" si="27"/>
        <v>8.5845573470852958</v>
      </c>
      <c r="Q268" s="229">
        <f t="shared" si="31"/>
        <v>12.11130719877859</v>
      </c>
      <c r="R268" s="144"/>
    </row>
    <row r="269" spans="2:18">
      <c r="B269" s="142">
        <f t="shared" si="28"/>
        <v>2043</v>
      </c>
      <c r="C269" s="19">
        <f t="shared" si="29"/>
        <v>12</v>
      </c>
      <c r="D269" s="143">
        <v>52566</v>
      </c>
      <c r="E269" s="19" t="str">
        <f t="shared" si="30"/>
        <v>12-2043</v>
      </c>
      <c r="F269" s="91">
        <f>'IEPR Gas Prices Real'!F271*(INDEX('GDP Deflator'!$D$6:$D$91,MATCH('IEPR Gas Prices Nominal'!$B269,'GDP Deflator'!$B$6:$B$91,0)))</f>
        <v>8.2786184764184387</v>
      </c>
      <c r="G269" s="91">
        <f>'IEPR Gas Prices Real'!G271*(INDEX('GDP Deflator'!$D$6:$D$91,MATCH('IEPR Gas Prices Nominal'!$B269,'GDP Deflator'!$B$6:$B$91,0)))</f>
        <v>3.0833948746277979</v>
      </c>
      <c r="H269" s="91">
        <f>'IEPR Gas Prices Real'!H271*(INDEX('GDP Deflator'!$D$6:$D$91,MATCH('IEPR Gas Prices Nominal'!$B269,'GDP Deflator'!$B$6:$B$91,0)))</f>
        <v>11.362013351046237</v>
      </c>
      <c r="I269" s="91">
        <f>'IEPR Gas Prices Real'!I271*(INDEX('GDP Deflator'!$D$6:$D$91,MATCH('IEPR Gas Prices Nominal'!$B269,'GDP Deflator'!$B$6:$B$91,0)))</f>
        <v>8.6818385233445579</v>
      </c>
      <c r="J269" s="91">
        <f>'IEPR Gas Prices Real'!J271*(INDEX('GDP Deflator'!$D$6:$D$91,MATCH('IEPR Gas Prices Nominal'!$B269,'GDP Deflator'!$B$6:$B$91,0)))</f>
        <v>5.092092964929007</v>
      </c>
      <c r="K269" s="91">
        <f>'IEPR Gas Prices Real'!K271*(INDEX('GDP Deflator'!$D$6:$D$91,MATCH('IEPR Gas Prices Nominal'!$B269,'GDP Deflator'!$B$6:$B$91,0)))</f>
        <v>13.773931488273565</v>
      </c>
      <c r="L269" s="91">
        <f>'IEPR Gas Prices Real'!L271*(INDEX('GDP Deflator'!$D$6:$D$91,MATCH('IEPR Gas Prices Nominal'!$B269,'GDP Deflator'!$B$6:$B$91,0)))</f>
        <v>8.9998677168354764</v>
      </c>
      <c r="M269" s="91">
        <f>'IEPR Gas Prices Real'!M271*(INDEX('GDP Deflator'!$D$6:$D$91,MATCH('IEPR Gas Prices Nominal'!$B269,'GDP Deflator'!$B$6:$B$91,0)))</f>
        <v>2.4047617155230783</v>
      </c>
      <c r="N269" s="91">
        <f>'IEPR Gas Prices Real'!N271*(INDEX('GDP Deflator'!$D$6:$D$91,MATCH('IEPR Gas Prices Nominal'!$B269,'GDP Deflator'!$B$6:$B$91,0)))</f>
        <v>11.404629432358554</v>
      </c>
      <c r="O269" s="19"/>
      <c r="P269" s="229">
        <f t="shared" si="27"/>
        <v>8.6534415721994904</v>
      </c>
      <c r="Q269" s="229">
        <f t="shared" si="31"/>
        <v>12.180191423892785</v>
      </c>
      <c r="R269" s="144"/>
    </row>
    <row r="270" spans="2:18">
      <c r="B270" s="142">
        <f t="shared" si="28"/>
        <v>2044</v>
      </c>
      <c r="C270" s="19">
        <f t="shared" si="29"/>
        <v>1</v>
      </c>
      <c r="D270" s="143">
        <v>52597</v>
      </c>
      <c r="E270" s="19" t="str">
        <f t="shared" si="30"/>
        <v>1-2044</v>
      </c>
      <c r="F270" s="91">
        <f>'IEPR Gas Prices Real'!F272*(INDEX('GDP Deflator'!$D$6:$D$91,MATCH('IEPR Gas Prices Nominal'!$B270,'GDP Deflator'!$B$6:$B$91,0)))</f>
        <v>8.4672435391199627</v>
      </c>
      <c r="G270" s="91">
        <f>'IEPR Gas Prices Real'!G272*(INDEX('GDP Deflator'!$D$6:$D$91,MATCH('IEPR Gas Prices Nominal'!$B270,'GDP Deflator'!$B$6:$B$91,0)))</f>
        <v>3.2792119522902752</v>
      </c>
      <c r="H270" s="91">
        <f>'IEPR Gas Prices Real'!H272*(INDEX('GDP Deflator'!$D$6:$D$91,MATCH('IEPR Gas Prices Nominal'!$B270,'GDP Deflator'!$B$6:$B$91,0)))</f>
        <v>11.746455491410238</v>
      </c>
      <c r="I270" s="91">
        <f>'IEPR Gas Prices Real'!I272*(INDEX('GDP Deflator'!$D$6:$D$91,MATCH('IEPR Gas Prices Nominal'!$B270,'GDP Deflator'!$B$6:$B$91,0)))</f>
        <v>8.8795520083530413</v>
      </c>
      <c r="J270" s="91">
        <f>'IEPR Gas Prices Real'!J272*(INDEX('GDP Deflator'!$D$6:$D$91,MATCH('IEPR Gas Prices Nominal'!$B270,'GDP Deflator'!$B$6:$B$91,0)))</f>
        <v>5.4161807758842793</v>
      </c>
      <c r="K270" s="91">
        <f>'IEPR Gas Prices Real'!K272*(INDEX('GDP Deflator'!$D$6:$D$91,MATCH('IEPR Gas Prices Nominal'!$B270,'GDP Deflator'!$B$6:$B$91,0)))</f>
        <v>14.29573278423732</v>
      </c>
      <c r="L270" s="91">
        <f>'IEPR Gas Prices Real'!L272*(INDEX('GDP Deflator'!$D$6:$D$91,MATCH('IEPR Gas Prices Nominal'!$B270,'GDP Deflator'!$B$6:$B$91,0)))</f>
        <v>9.2048271638528885</v>
      </c>
      <c r="M270" s="91">
        <f>'IEPR Gas Prices Real'!M272*(INDEX('GDP Deflator'!$D$6:$D$91,MATCH('IEPR Gas Prices Nominal'!$B270,'GDP Deflator'!$B$6:$B$91,0)))</f>
        <v>2.557813508885963</v>
      </c>
      <c r="N270" s="91">
        <f>'IEPR Gas Prices Real'!N272*(INDEX('GDP Deflator'!$D$6:$D$91,MATCH('IEPR Gas Prices Nominal'!$B270,'GDP Deflator'!$B$6:$B$91,0)))</f>
        <v>11.762640672738851</v>
      </c>
      <c r="O270" s="19"/>
      <c r="P270" s="229">
        <f t="shared" si="27"/>
        <v>8.8505409037752969</v>
      </c>
      <c r="Q270" s="229">
        <f t="shared" si="31"/>
        <v>12.601609649462135</v>
      </c>
      <c r="R270" s="144"/>
    </row>
    <row r="271" spans="2:18">
      <c r="B271" s="142">
        <f t="shared" si="28"/>
        <v>2044</v>
      </c>
      <c r="C271" s="19">
        <f t="shared" si="29"/>
        <v>2</v>
      </c>
      <c r="D271" s="143">
        <v>52628</v>
      </c>
      <c r="E271" s="19" t="str">
        <f t="shared" si="30"/>
        <v>2-2044</v>
      </c>
      <c r="F271" s="91">
        <f>'IEPR Gas Prices Real'!F273*(INDEX('GDP Deflator'!$D$6:$D$91,MATCH('IEPR Gas Prices Nominal'!$B271,'GDP Deflator'!$B$6:$B$91,0)))</f>
        <v>8.281509733535378</v>
      </c>
      <c r="G271" s="91">
        <f>'IEPR Gas Prices Real'!G273*(INDEX('GDP Deflator'!$D$6:$D$91,MATCH('IEPR Gas Prices Nominal'!$B271,'GDP Deflator'!$B$6:$B$91,0)))</f>
        <v>3.2792119522902752</v>
      </c>
      <c r="H271" s="91">
        <f>'IEPR Gas Prices Real'!H273*(INDEX('GDP Deflator'!$D$6:$D$91,MATCH('IEPR Gas Prices Nominal'!$B271,'GDP Deflator'!$B$6:$B$91,0)))</f>
        <v>11.560721685825653</v>
      </c>
      <c r="I271" s="91">
        <f>'IEPR Gas Prices Real'!I273*(INDEX('GDP Deflator'!$D$6:$D$91,MATCH('IEPR Gas Prices Nominal'!$B271,'GDP Deflator'!$B$6:$B$91,0)))</f>
        <v>8.6846773509780686</v>
      </c>
      <c r="J271" s="91">
        <f>'IEPR Gas Prices Real'!J273*(INDEX('GDP Deflator'!$D$6:$D$91,MATCH('IEPR Gas Prices Nominal'!$B271,'GDP Deflator'!$B$6:$B$91,0)))</f>
        <v>5.4161807758842793</v>
      </c>
      <c r="K271" s="91">
        <f>'IEPR Gas Prices Real'!K273*(INDEX('GDP Deflator'!$D$6:$D$91,MATCH('IEPR Gas Prices Nominal'!$B271,'GDP Deflator'!$B$6:$B$91,0)))</f>
        <v>14.100858126862347</v>
      </c>
      <c r="L271" s="91">
        <f>'IEPR Gas Prices Real'!L273*(INDEX('GDP Deflator'!$D$6:$D$91,MATCH('IEPR Gas Prices Nominal'!$B271,'GDP Deflator'!$B$6:$B$91,0)))</f>
        <v>9.0028172074172019</v>
      </c>
      <c r="M271" s="91">
        <f>'IEPR Gas Prices Real'!M273*(INDEX('GDP Deflator'!$D$6:$D$91,MATCH('IEPR Gas Prices Nominal'!$B271,'GDP Deflator'!$B$6:$B$91,0)))</f>
        <v>2.557813508885963</v>
      </c>
      <c r="N271" s="91">
        <f>'IEPR Gas Prices Real'!N273*(INDEX('GDP Deflator'!$D$6:$D$91,MATCH('IEPR Gas Prices Nominal'!$B271,'GDP Deflator'!$B$6:$B$91,0)))</f>
        <v>11.560630716303166</v>
      </c>
      <c r="O271" s="19"/>
      <c r="P271" s="229">
        <f t="shared" si="27"/>
        <v>8.6563347639768828</v>
      </c>
      <c r="Q271" s="229">
        <f t="shared" si="31"/>
        <v>12.407403509663723</v>
      </c>
      <c r="R271" s="144"/>
    </row>
    <row r="272" spans="2:18">
      <c r="B272" s="142">
        <f t="shared" si="28"/>
        <v>2044</v>
      </c>
      <c r="C272" s="19">
        <f t="shared" si="29"/>
        <v>3</v>
      </c>
      <c r="D272" s="143">
        <v>52657</v>
      </c>
      <c r="E272" s="19" t="str">
        <f t="shared" si="30"/>
        <v>3-2044</v>
      </c>
      <c r="F272" s="91">
        <f>'IEPR Gas Prices Real'!F274*(INDEX('GDP Deflator'!$D$6:$D$91,MATCH('IEPR Gas Prices Nominal'!$B272,'GDP Deflator'!$B$6:$B$91,0)))</f>
        <v>7.6023656841746492</v>
      </c>
      <c r="G272" s="91">
        <f>'IEPR Gas Prices Real'!G274*(INDEX('GDP Deflator'!$D$6:$D$91,MATCH('IEPR Gas Prices Nominal'!$B272,'GDP Deflator'!$B$6:$B$91,0)))</f>
        <v>3.2792119522902752</v>
      </c>
      <c r="H272" s="91">
        <f>'IEPR Gas Prices Real'!H274*(INDEX('GDP Deflator'!$D$6:$D$91,MATCH('IEPR Gas Prices Nominal'!$B272,'GDP Deflator'!$B$6:$B$91,0)))</f>
        <v>10.881577636464923</v>
      </c>
      <c r="I272" s="91">
        <f>'IEPR Gas Prices Real'!I274*(INDEX('GDP Deflator'!$D$6:$D$91,MATCH('IEPR Gas Prices Nominal'!$B272,'GDP Deflator'!$B$6:$B$91,0)))</f>
        <v>7.9723819080391669</v>
      </c>
      <c r="J272" s="91">
        <f>'IEPR Gas Prices Real'!J274*(INDEX('GDP Deflator'!$D$6:$D$91,MATCH('IEPR Gas Prices Nominal'!$B272,'GDP Deflator'!$B$6:$B$91,0)))</f>
        <v>5.4161807758842793</v>
      </c>
      <c r="K272" s="91">
        <f>'IEPR Gas Prices Real'!K274*(INDEX('GDP Deflator'!$D$6:$D$91,MATCH('IEPR Gas Prices Nominal'!$B272,'GDP Deflator'!$B$6:$B$91,0)))</f>
        <v>13.388562683923446</v>
      </c>
      <c r="L272" s="91">
        <f>'IEPR Gas Prices Real'!L274*(INDEX('GDP Deflator'!$D$6:$D$91,MATCH('IEPR Gas Prices Nominal'!$B272,'GDP Deflator'!$B$6:$B$91,0)))</f>
        <v>8.2644317949042527</v>
      </c>
      <c r="M272" s="91">
        <f>'IEPR Gas Prices Real'!M274*(INDEX('GDP Deflator'!$D$6:$D$91,MATCH('IEPR Gas Prices Nominal'!$B272,'GDP Deflator'!$B$6:$B$91,0)))</f>
        <v>2.557813508885963</v>
      </c>
      <c r="N272" s="91">
        <f>'IEPR Gas Prices Real'!N274*(INDEX('GDP Deflator'!$D$6:$D$91,MATCH('IEPR Gas Prices Nominal'!$B272,'GDP Deflator'!$B$6:$B$91,0)))</f>
        <v>10.822245303790215</v>
      </c>
      <c r="O272" s="19"/>
      <c r="P272" s="229">
        <f t="shared" si="27"/>
        <v>7.9463931290393566</v>
      </c>
      <c r="Q272" s="229">
        <f t="shared" si="31"/>
        <v>11.697461874726196</v>
      </c>
      <c r="R272" s="144"/>
    </row>
    <row r="273" spans="2:18">
      <c r="B273" s="142">
        <f t="shared" si="28"/>
        <v>2044</v>
      </c>
      <c r="C273" s="19">
        <f t="shared" si="29"/>
        <v>4</v>
      </c>
      <c r="D273" s="143">
        <v>52688</v>
      </c>
      <c r="E273" s="19" t="str">
        <f t="shared" si="30"/>
        <v>4-2044</v>
      </c>
      <c r="F273" s="91">
        <f>'IEPR Gas Prices Real'!F275*(INDEX('GDP Deflator'!$D$6:$D$91,MATCH('IEPR Gas Prices Nominal'!$B273,'GDP Deflator'!$B$6:$B$91,0)))</f>
        <v>7.4729270316404941</v>
      </c>
      <c r="G273" s="91">
        <f>'IEPR Gas Prices Real'!G275*(INDEX('GDP Deflator'!$D$6:$D$91,MATCH('IEPR Gas Prices Nominal'!$B273,'GDP Deflator'!$B$6:$B$91,0)))</f>
        <v>3.2792119522902752</v>
      </c>
      <c r="H273" s="91">
        <f>'IEPR Gas Prices Real'!H275*(INDEX('GDP Deflator'!$D$6:$D$91,MATCH('IEPR Gas Prices Nominal'!$B273,'GDP Deflator'!$B$6:$B$91,0)))</f>
        <v>10.75213898393077</v>
      </c>
      <c r="I273" s="91">
        <f>'IEPR Gas Prices Real'!I275*(INDEX('GDP Deflator'!$D$6:$D$91,MATCH('IEPR Gas Prices Nominal'!$B273,'GDP Deflator'!$B$6:$B$91,0)))</f>
        <v>7.8365561071796286</v>
      </c>
      <c r="J273" s="91">
        <f>'IEPR Gas Prices Real'!J275*(INDEX('GDP Deflator'!$D$6:$D$91,MATCH('IEPR Gas Prices Nominal'!$B273,'GDP Deflator'!$B$6:$B$91,0)))</f>
        <v>5.4161807758842793</v>
      </c>
      <c r="K273" s="91">
        <f>'IEPR Gas Prices Real'!K275*(INDEX('GDP Deflator'!$D$6:$D$91,MATCH('IEPR Gas Prices Nominal'!$B273,'GDP Deflator'!$B$6:$B$91,0)))</f>
        <v>13.252736883063909</v>
      </c>
      <c r="L273" s="91">
        <f>'IEPR Gas Prices Real'!L275*(INDEX('GDP Deflator'!$D$6:$D$91,MATCH('IEPR Gas Prices Nominal'!$B273,'GDP Deflator'!$B$6:$B$91,0)))</f>
        <v>8.123633339327899</v>
      </c>
      <c r="M273" s="91">
        <f>'IEPR Gas Prices Real'!M275*(INDEX('GDP Deflator'!$D$6:$D$91,MATCH('IEPR Gas Prices Nominal'!$B273,'GDP Deflator'!$B$6:$B$91,0)))</f>
        <v>2.557813508885963</v>
      </c>
      <c r="N273" s="91">
        <f>'IEPR Gas Prices Real'!N275*(INDEX('GDP Deflator'!$D$6:$D$91,MATCH('IEPR Gas Prices Nominal'!$B273,'GDP Deflator'!$B$6:$B$91,0)))</f>
        <v>10.681446848213863</v>
      </c>
      <c r="O273" s="19"/>
      <c r="P273" s="229">
        <f t="shared" si="27"/>
        <v>7.8110388260493409</v>
      </c>
      <c r="Q273" s="229">
        <f t="shared" si="31"/>
        <v>11.562107571736183</v>
      </c>
      <c r="R273" s="144"/>
    </row>
    <row r="274" spans="2:18">
      <c r="B274" s="142">
        <f t="shared" si="28"/>
        <v>2044</v>
      </c>
      <c r="C274" s="19">
        <f t="shared" si="29"/>
        <v>5</v>
      </c>
      <c r="D274" s="143">
        <v>52718</v>
      </c>
      <c r="E274" s="19" t="str">
        <f t="shared" si="30"/>
        <v>5-2044</v>
      </c>
      <c r="F274" s="91">
        <f>'IEPR Gas Prices Real'!F276*(INDEX('GDP Deflator'!$D$6:$D$91,MATCH('IEPR Gas Prices Nominal'!$B274,'GDP Deflator'!$B$6:$B$91,0)))</f>
        <v>7.7329231472646214</v>
      </c>
      <c r="G274" s="91">
        <f>'IEPR Gas Prices Real'!G276*(INDEX('GDP Deflator'!$D$6:$D$91,MATCH('IEPR Gas Prices Nominal'!$B274,'GDP Deflator'!$B$6:$B$91,0)))</f>
        <v>3.2792119522902752</v>
      </c>
      <c r="H274" s="91">
        <f>'IEPR Gas Prices Real'!H276*(INDEX('GDP Deflator'!$D$6:$D$91,MATCH('IEPR Gas Prices Nominal'!$B274,'GDP Deflator'!$B$6:$B$91,0)))</f>
        <v>11.012135099554897</v>
      </c>
      <c r="I274" s="91">
        <f>'IEPR Gas Prices Real'!I276*(INDEX('GDP Deflator'!$D$6:$D$91,MATCH('IEPR Gas Prices Nominal'!$B274,'GDP Deflator'!$B$6:$B$91,0)))</f>
        <v>8.109113251934815</v>
      </c>
      <c r="J274" s="91">
        <f>'IEPR Gas Prices Real'!J276*(INDEX('GDP Deflator'!$D$6:$D$91,MATCH('IEPR Gas Prices Nominal'!$B274,'GDP Deflator'!$B$6:$B$91,0)))</f>
        <v>5.4161807758842793</v>
      </c>
      <c r="K274" s="91">
        <f>'IEPR Gas Prices Real'!K276*(INDEX('GDP Deflator'!$D$6:$D$91,MATCH('IEPR Gas Prices Nominal'!$B274,'GDP Deflator'!$B$6:$B$91,0)))</f>
        <v>13.525294027819095</v>
      </c>
      <c r="L274" s="91">
        <f>'IEPR Gas Prices Real'!L276*(INDEX('GDP Deflator'!$D$6:$D$91,MATCH('IEPR Gas Prices Nominal'!$B274,'GDP Deflator'!$B$6:$B$91,0)))</f>
        <v>8.4061782097839242</v>
      </c>
      <c r="M274" s="91">
        <f>'IEPR Gas Prices Real'!M276*(INDEX('GDP Deflator'!$D$6:$D$91,MATCH('IEPR Gas Prices Nominal'!$B274,'GDP Deflator'!$B$6:$B$91,0)))</f>
        <v>2.557813508885963</v>
      </c>
      <c r="N274" s="91">
        <f>'IEPR Gas Prices Real'!N276*(INDEX('GDP Deflator'!$D$6:$D$91,MATCH('IEPR Gas Prices Nominal'!$B274,'GDP Deflator'!$B$6:$B$91,0)))</f>
        <v>10.963991718669888</v>
      </c>
      <c r="O274" s="19"/>
      <c r="P274" s="229">
        <f t="shared" si="27"/>
        <v>8.0827382029944541</v>
      </c>
      <c r="Q274" s="229">
        <f t="shared" si="31"/>
        <v>11.833806948681293</v>
      </c>
      <c r="R274" s="144"/>
    </row>
    <row r="275" spans="2:18">
      <c r="B275" s="142">
        <f t="shared" si="28"/>
        <v>2044</v>
      </c>
      <c r="C275" s="19">
        <f t="shared" si="29"/>
        <v>6</v>
      </c>
      <c r="D275" s="143">
        <v>52749</v>
      </c>
      <c r="E275" s="19" t="str">
        <f t="shared" si="30"/>
        <v>6-2044</v>
      </c>
      <c r="F275" s="91">
        <f>'IEPR Gas Prices Real'!F277*(INDEX('GDP Deflator'!$D$6:$D$91,MATCH('IEPR Gas Prices Nominal'!$B275,'GDP Deflator'!$B$6:$B$91,0)))</f>
        <v>7.9327502532920358</v>
      </c>
      <c r="G275" s="91">
        <f>'IEPR Gas Prices Real'!G277*(INDEX('GDP Deflator'!$D$6:$D$91,MATCH('IEPR Gas Prices Nominal'!$B275,'GDP Deflator'!$B$6:$B$91,0)))</f>
        <v>3.2792119522902752</v>
      </c>
      <c r="H275" s="91">
        <f>'IEPR Gas Prices Real'!H277*(INDEX('GDP Deflator'!$D$6:$D$91,MATCH('IEPR Gas Prices Nominal'!$B275,'GDP Deflator'!$B$6:$B$91,0)))</f>
        <v>11.211962205582312</v>
      </c>
      <c r="I275" s="91">
        <f>'IEPR Gas Prices Real'!I277*(INDEX('GDP Deflator'!$D$6:$D$91,MATCH('IEPR Gas Prices Nominal'!$B275,'GDP Deflator'!$B$6:$B$91,0)))</f>
        <v>8.3185689172506176</v>
      </c>
      <c r="J275" s="91">
        <f>'IEPR Gas Prices Real'!J277*(INDEX('GDP Deflator'!$D$6:$D$91,MATCH('IEPR Gas Prices Nominal'!$B275,'GDP Deflator'!$B$6:$B$91,0)))</f>
        <v>5.4161807758842793</v>
      </c>
      <c r="K275" s="91">
        <f>'IEPR Gas Prices Real'!K277*(INDEX('GDP Deflator'!$D$6:$D$91,MATCH('IEPR Gas Prices Nominal'!$B275,'GDP Deflator'!$B$6:$B$91,0)))</f>
        <v>13.734749693134896</v>
      </c>
      <c r="L275" s="91">
        <f>'IEPR Gas Prices Real'!L277*(INDEX('GDP Deflator'!$D$6:$D$91,MATCH('IEPR Gas Prices Nominal'!$B275,'GDP Deflator'!$B$6:$B$91,0)))</f>
        <v>8.6233101602903623</v>
      </c>
      <c r="M275" s="91">
        <f>'IEPR Gas Prices Real'!M277*(INDEX('GDP Deflator'!$D$6:$D$91,MATCH('IEPR Gas Prices Nominal'!$B275,'GDP Deflator'!$B$6:$B$91,0)))</f>
        <v>2.557813508885963</v>
      </c>
      <c r="N275" s="91">
        <f>'IEPR Gas Prices Real'!N277*(INDEX('GDP Deflator'!$D$6:$D$91,MATCH('IEPR Gas Prices Nominal'!$B275,'GDP Deflator'!$B$6:$B$91,0)))</f>
        <v>11.181123669176324</v>
      </c>
      <c r="O275" s="19"/>
      <c r="P275" s="229">
        <f t="shared" si="27"/>
        <v>8.2915431102776722</v>
      </c>
      <c r="Q275" s="229">
        <f t="shared" si="31"/>
        <v>12.042611855964511</v>
      </c>
      <c r="R275" s="144"/>
    </row>
    <row r="276" spans="2:18">
      <c r="B276" s="142">
        <f t="shared" si="28"/>
        <v>2044</v>
      </c>
      <c r="C276" s="19">
        <f t="shared" si="29"/>
        <v>7</v>
      </c>
      <c r="D276" s="143">
        <v>52779</v>
      </c>
      <c r="E276" s="19" t="str">
        <f t="shared" si="30"/>
        <v>7-2044</v>
      </c>
      <c r="F276" s="91">
        <f>'IEPR Gas Prices Real'!F278*(INDEX('GDP Deflator'!$D$6:$D$91,MATCH('IEPR Gas Prices Nominal'!$B276,'GDP Deflator'!$B$6:$B$91,0)))</f>
        <v>7.9955990317462042</v>
      </c>
      <c r="G276" s="91">
        <f>'IEPR Gas Prices Real'!G278*(INDEX('GDP Deflator'!$D$6:$D$91,MATCH('IEPR Gas Prices Nominal'!$B276,'GDP Deflator'!$B$6:$B$91,0)))</f>
        <v>3.2792119522902752</v>
      </c>
      <c r="H276" s="91">
        <f>'IEPR Gas Prices Real'!H278*(INDEX('GDP Deflator'!$D$6:$D$91,MATCH('IEPR Gas Prices Nominal'!$B276,'GDP Deflator'!$B$6:$B$91,0)))</f>
        <v>11.274810984036479</v>
      </c>
      <c r="I276" s="91">
        <f>'IEPR Gas Prices Real'!I278*(INDEX('GDP Deflator'!$D$6:$D$91,MATCH('IEPR Gas Prices Nominal'!$B276,'GDP Deflator'!$B$6:$B$91,0)))</f>
        <v>8.3843810764411106</v>
      </c>
      <c r="J276" s="91">
        <f>'IEPR Gas Prices Real'!J278*(INDEX('GDP Deflator'!$D$6:$D$91,MATCH('IEPR Gas Prices Nominal'!$B276,'GDP Deflator'!$B$6:$B$91,0)))</f>
        <v>5.4161807758842793</v>
      </c>
      <c r="K276" s="91">
        <f>'IEPR Gas Prices Real'!K278*(INDEX('GDP Deflator'!$D$6:$D$91,MATCH('IEPR Gas Prices Nominal'!$B276,'GDP Deflator'!$B$6:$B$91,0)))</f>
        <v>13.800561852325389</v>
      </c>
      <c r="L276" s="91">
        <f>'IEPR Gas Prices Real'!L278*(INDEX('GDP Deflator'!$D$6:$D$91,MATCH('IEPR Gas Prices Nominal'!$B276,'GDP Deflator'!$B$6:$B$91,0)))</f>
        <v>8.6915364955859005</v>
      </c>
      <c r="M276" s="91">
        <f>'IEPR Gas Prices Real'!M278*(INDEX('GDP Deflator'!$D$6:$D$91,MATCH('IEPR Gas Prices Nominal'!$B276,'GDP Deflator'!$B$6:$B$91,0)))</f>
        <v>2.557813508885963</v>
      </c>
      <c r="N276" s="91">
        <f>'IEPR Gas Prices Real'!N278*(INDEX('GDP Deflator'!$D$6:$D$91,MATCH('IEPR Gas Prices Nominal'!$B276,'GDP Deflator'!$B$6:$B$91,0)))</f>
        <v>11.249350004471863</v>
      </c>
      <c r="O276" s="19"/>
      <c r="P276" s="229">
        <f t="shared" si="27"/>
        <v>8.3571722012577379</v>
      </c>
      <c r="Q276" s="229">
        <f t="shared" si="31"/>
        <v>12.108240946944576</v>
      </c>
      <c r="R276" s="144"/>
    </row>
    <row r="277" spans="2:18">
      <c r="B277" s="142">
        <f t="shared" si="28"/>
        <v>2044</v>
      </c>
      <c r="C277" s="19">
        <f t="shared" si="29"/>
        <v>8</v>
      </c>
      <c r="D277" s="143">
        <v>52810</v>
      </c>
      <c r="E277" s="19" t="str">
        <f t="shared" si="30"/>
        <v>8-2044</v>
      </c>
      <c r="F277" s="91">
        <f>'IEPR Gas Prices Real'!F279*(INDEX('GDP Deflator'!$D$6:$D$91,MATCH('IEPR Gas Prices Nominal'!$B277,'GDP Deflator'!$B$6:$B$91,0)))</f>
        <v>7.9337559014033223</v>
      </c>
      <c r="G277" s="91">
        <f>'IEPR Gas Prices Real'!G279*(INDEX('GDP Deflator'!$D$6:$D$91,MATCH('IEPR Gas Prices Nominal'!$B277,'GDP Deflator'!$B$6:$B$91,0)))</f>
        <v>3.2792119522902752</v>
      </c>
      <c r="H277" s="91">
        <f>'IEPR Gas Prices Real'!H279*(INDEX('GDP Deflator'!$D$6:$D$91,MATCH('IEPR Gas Prices Nominal'!$B277,'GDP Deflator'!$B$6:$B$91,0)))</f>
        <v>11.212967853693598</v>
      </c>
      <c r="I277" s="91">
        <f>'IEPR Gas Prices Real'!I279*(INDEX('GDP Deflator'!$D$6:$D$91,MATCH('IEPR Gas Prices Nominal'!$B277,'GDP Deflator'!$B$6:$B$91,0)))</f>
        <v>8.3194382230436243</v>
      </c>
      <c r="J277" s="91">
        <f>'IEPR Gas Prices Real'!J279*(INDEX('GDP Deflator'!$D$6:$D$91,MATCH('IEPR Gas Prices Nominal'!$B277,'GDP Deflator'!$B$6:$B$91,0)))</f>
        <v>5.4161807758842793</v>
      </c>
      <c r="K277" s="91">
        <f>'IEPR Gas Prices Real'!K279*(INDEX('GDP Deflator'!$D$6:$D$91,MATCH('IEPR Gas Prices Nominal'!$B277,'GDP Deflator'!$B$6:$B$91,0)))</f>
        <v>13.735618998927903</v>
      </c>
      <c r="L277" s="91">
        <f>'IEPR Gas Prices Real'!L279*(INDEX('GDP Deflator'!$D$6:$D$91,MATCH('IEPR Gas Prices Nominal'!$B277,'GDP Deflator'!$B$6:$B$91,0)))</f>
        <v>8.6242177086694589</v>
      </c>
      <c r="M277" s="91">
        <f>'IEPR Gas Prices Real'!M279*(INDEX('GDP Deflator'!$D$6:$D$91,MATCH('IEPR Gas Prices Nominal'!$B277,'GDP Deflator'!$B$6:$B$91,0)))</f>
        <v>2.557813508885963</v>
      </c>
      <c r="N277" s="91">
        <f>'IEPR Gas Prices Real'!N279*(INDEX('GDP Deflator'!$D$6:$D$91,MATCH('IEPR Gas Prices Nominal'!$B277,'GDP Deflator'!$B$6:$B$91,0)))</f>
        <v>11.182031217555423</v>
      </c>
      <c r="O277" s="19"/>
      <c r="P277" s="229">
        <f t="shared" si="27"/>
        <v>8.2924706110388016</v>
      </c>
      <c r="Q277" s="229">
        <f t="shared" si="31"/>
        <v>12.04353935672564</v>
      </c>
      <c r="R277" s="144"/>
    </row>
    <row r="278" spans="2:18">
      <c r="B278" s="142">
        <f t="shared" si="28"/>
        <v>2044</v>
      </c>
      <c r="C278" s="19">
        <f t="shared" si="29"/>
        <v>9</v>
      </c>
      <c r="D278" s="143">
        <v>52841</v>
      </c>
      <c r="E278" s="19" t="str">
        <f t="shared" si="30"/>
        <v>9-2044</v>
      </c>
      <c r="F278" s="91">
        <f>'IEPR Gas Prices Real'!F280*(INDEX('GDP Deflator'!$D$6:$D$91,MATCH('IEPR Gas Prices Nominal'!$B278,'GDP Deflator'!$B$6:$B$91,0)))</f>
        <v>8.0452655547648622</v>
      </c>
      <c r="G278" s="91">
        <f>'IEPR Gas Prices Real'!G280*(INDEX('GDP Deflator'!$D$6:$D$91,MATCH('IEPR Gas Prices Nominal'!$B278,'GDP Deflator'!$B$6:$B$91,0)))</f>
        <v>3.2792119522902752</v>
      </c>
      <c r="H278" s="91">
        <f>'IEPR Gas Prices Real'!H280*(INDEX('GDP Deflator'!$D$6:$D$91,MATCH('IEPR Gas Prices Nominal'!$B278,'GDP Deflator'!$B$6:$B$91,0)))</f>
        <v>11.324477507055136</v>
      </c>
      <c r="I278" s="91">
        <f>'IEPR Gas Prices Real'!I280*(INDEX('GDP Deflator'!$D$6:$D$91,MATCH('IEPR Gas Prices Nominal'!$B278,'GDP Deflator'!$B$6:$B$91,0)))</f>
        <v>8.4362747329007082</v>
      </c>
      <c r="J278" s="91">
        <f>'IEPR Gas Prices Real'!J280*(INDEX('GDP Deflator'!$D$6:$D$91,MATCH('IEPR Gas Prices Nominal'!$B278,'GDP Deflator'!$B$6:$B$91,0)))</f>
        <v>5.4161807758842793</v>
      </c>
      <c r="K278" s="91">
        <f>'IEPR Gas Prices Real'!K280*(INDEX('GDP Deflator'!$D$6:$D$91,MATCH('IEPR Gas Prices Nominal'!$B278,'GDP Deflator'!$B$6:$B$91,0)))</f>
        <v>13.852455508784987</v>
      </c>
      <c r="L278" s="91">
        <f>'IEPR Gas Prices Real'!L280*(INDEX('GDP Deflator'!$D$6:$D$91,MATCH('IEPR Gas Prices Nominal'!$B278,'GDP Deflator'!$B$6:$B$91,0)))</f>
        <v>8.7453377238731687</v>
      </c>
      <c r="M278" s="91">
        <f>'IEPR Gas Prices Real'!M280*(INDEX('GDP Deflator'!$D$6:$D$91,MATCH('IEPR Gas Prices Nominal'!$B278,'GDP Deflator'!$B$6:$B$91,0)))</f>
        <v>2.557813508885963</v>
      </c>
      <c r="N278" s="91">
        <f>'IEPR Gas Prices Real'!N280*(INDEX('GDP Deflator'!$D$6:$D$91,MATCH('IEPR Gas Prices Nominal'!$B278,'GDP Deflator'!$B$6:$B$91,0)))</f>
        <v>11.303151232759131</v>
      </c>
      <c r="O278" s="19"/>
      <c r="P278" s="229">
        <f t="shared" si="27"/>
        <v>8.4089593371795797</v>
      </c>
      <c r="Q278" s="229">
        <f t="shared" si="31"/>
        <v>12.160028082866418</v>
      </c>
      <c r="R278" s="144"/>
    </row>
    <row r="279" spans="2:18">
      <c r="B279" s="142">
        <f t="shared" si="28"/>
        <v>2044</v>
      </c>
      <c r="C279" s="19">
        <f t="shared" si="29"/>
        <v>10</v>
      </c>
      <c r="D279" s="143">
        <v>52871</v>
      </c>
      <c r="E279" s="19" t="str">
        <f t="shared" si="30"/>
        <v>10-2044</v>
      </c>
      <c r="F279" s="91">
        <f>'IEPR Gas Prices Real'!F281*(INDEX('GDP Deflator'!$D$6:$D$91,MATCH('IEPR Gas Prices Nominal'!$B279,'GDP Deflator'!$B$6:$B$91,0)))</f>
        <v>7.9988195899715011</v>
      </c>
      <c r="G279" s="91">
        <f>'IEPR Gas Prices Real'!G281*(INDEX('GDP Deflator'!$D$6:$D$91,MATCH('IEPR Gas Prices Nominal'!$B279,'GDP Deflator'!$B$6:$B$91,0)))</f>
        <v>3.2792119522902752</v>
      </c>
      <c r="H279" s="91">
        <f>'IEPR Gas Prices Real'!H281*(INDEX('GDP Deflator'!$D$6:$D$91,MATCH('IEPR Gas Prices Nominal'!$B279,'GDP Deflator'!$B$6:$B$91,0)))</f>
        <v>11.278031542261775</v>
      </c>
      <c r="I279" s="91">
        <f>'IEPR Gas Prices Real'!I281*(INDEX('GDP Deflator'!$D$6:$D$91,MATCH('IEPR Gas Prices Nominal'!$B279,'GDP Deflator'!$B$6:$B$91,0)))</f>
        <v>8.3874780299816685</v>
      </c>
      <c r="J279" s="91">
        <f>'IEPR Gas Prices Real'!J281*(INDEX('GDP Deflator'!$D$6:$D$91,MATCH('IEPR Gas Prices Nominal'!$B279,'GDP Deflator'!$B$6:$B$91,0)))</f>
        <v>5.4161807758842793</v>
      </c>
      <c r="K279" s="91">
        <f>'IEPR Gas Prices Real'!K281*(INDEX('GDP Deflator'!$D$6:$D$91,MATCH('IEPR Gas Prices Nominal'!$B279,'GDP Deflator'!$B$6:$B$91,0)))</f>
        <v>13.803658805865947</v>
      </c>
      <c r="L279" s="91">
        <f>'IEPR Gas Prices Real'!L281*(INDEX('GDP Deflator'!$D$6:$D$91,MATCH('IEPR Gas Prices Nominal'!$B279,'GDP Deflator'!$B$6:$B$91,0)))</f>
        <v>8.6947565788242684</v>
      </c>
      <c r="M279" s="91">
        <f>'IEPR Gas Prices Real'!M281*(INDEX('GDP Deflator'!$D$6:$D$91,MATCH('IEPR Gas Prices Nominal'!$B279,'GDP Deflator'!$B$6:$B$91,0)))</f>
        <v>2.557813508885963</v>
      </c>
      <c r="N279" s="91">
        <f>'IEPR Gas Prices Real'!N281*(INDEX('GDP Deflator'!$D$6:$D$91,MATCH('IEPR Gas Prices Nominal'!$B279,'GDP Deflator'!$B$6:$B$91,0)))</f>
        <v>11.252570087710232</v>
      </c>
      <c r="O279" s="19"/>
      <c r="P279" s="229">
        <f t="shared" si="27"/>
        <v>8.3603513995924796</v>
      </c>
      <c r="Q279" s="229">
        <f t="shared" si="31"/>
        <v>12.111420145279318</v>
      </c>
      <c r="R279" s="144"/>
    </row>
    <row r="280" spans="2:18">
      <c r="B280" s="142">
        <f t="shared" si="28"/>
        <v>2044</v>
      </c>
      <c r="C280" s="19">
        <f t="shared" si="29"/>
        <v>11</v>
      </c>
      <c r="D280" s="143">
        <v>52902</v>
      </c>
      <c r="E280" s="19" t="str">
        <f t="shared" si="30"/>
        <v>11-2044</v>
      </c>
      <c r="F280" s="91">
        <f>'IEPR Gas Prices Real'!F282*(INDEX('GDP Deflator'!$D$6:$D$91,MATCH('IEPR Gas Prices Nominal'!$B280,'GDP Deflator'!$B$6:$B$91,0)))</f>
        <v>8.3940867138685817</v>
      </c>
      <c r="G280" s="91">
        <f>'IEPR Gas Prices Real'!G282*(INDEX('GDP Deflator'!$D$6:$D$91,MATCH('IEPR Gas Prices Nominal'!$B280,'GDP Deflator'!$B$6:$B$91,0)))</f>
        <v>3.2792119522902752</v>
      </c>
      <c r="H280" s="91">
        <f>'IEPR Gas Prices Real'!H282*(INDEX('GDP Deflator'!$D$6:$D$91,MATCH('IEPR Gas Prices Nominal'!$B280,'GDP Deflator'!$B$6:$B$91,0)))</f>
        <v>11.673298666158859</v>
      </c>
      <c r="I280" s="91">
        <f>'IEPR Gas Prices Real'!I282*(INDEX('GDP Deflator'!$D$6:$D$91,MATCH('IEPR Gas Prices Nominal'!$B280,'GDP Deflator'!$B$6:$B$91,0)))</f>
        <v>8.8018529387478583</v>
      </c>
      <c r="J280" s="91">
        <f>'IEPR Gas Prices Real'!J282*(INDEX('GDP Deflator'!$D$6:$D$91,MATCH('IEPR Gas Prices Nominal'!$B280,'GDP Deflator'!$B$6:$B$91,0)))</f>
        <v>5.4161807758842793</v>
      </c>
      <c r="K280" s="91">
        <f>'IEPR Gas Prices Real'!K282*(INDEX('GDP Deflator'!$D$6:$D$91,MATCH('IEPR Gas Prices Nominal'!$B280,'GDP Deflator'!$B$6:$B$91,0)))</f>
        <v>14.218033714632138</v>
      </c>
      <c r="L280" s="91">
        <f>'IEPR Gas Prices Real'!L282*(INDEX('GDP Deflator'!$D$6:$D$91,MATCH('IEPR Gas Prices Nominal'!$B280,'GDP Deflator'!$B$6:$B$91,0)))</f>
        <v>9.1243156602176008</v>
      </c>
      <c r="M280" s="91">
        <f>'IEPR Gas Prices Real'!M282*(INDEX('GDP Deflator'!$D$6:$D$91,MATCH('IEPR Gas Prices Nominal'!$B280,'GDP Deflator'!$B$6:$B$91,0)))</f>
        <v>2.557813508885963</v>
      </c>
      <c r="N280" s="91">
        <f>'IEPR Gas Prices Real'!N282*(INDEX('GDP Deflator'!$D$6:$D$91,MATCH('IEPR Gas Prices Nominal'!$B280,'GDP Deflator'!$B$6:$B$91,0)))</f>
        <v>11.682129169103563</v>
      </c>
      <c r="O280" s="19"/>
      <c r="P280" s="229">
        <f t="shared" si="27"/>
        <v>8.7734184376113458</v>
      </c>
      <c r="Q280" s="229">
        <f t="shared" si="31"/>
        <v>12.524487183298186</v>
      </c>
      <c r="R280" s="144"/>
    </row>
    <row r="281" spans="2:18">
      <c r="B281" s="142">
        <f t="shared" si="28"/>
        <v>2044</v>
      </c>
      <c r="C281" s="19">
        <f t="shared" si="29"/>
        <v>12</v>
      </c>
      <c r="D281" s="143">
        <v>52932</v>
      </c>
      <c r="E281" s="19" t="str">
        <f t="shared" si="30"/>
        <v>12-2044</v>
      </c>
      <c r="F281" s="91">
        <f>'IEPR Gas Prices Real'!F283*(INDEX('GDP Deflator'!$D$6:$D$91,MATCH('IEPR Gas Prices Nominal'!$B281,'GDP Deflator'!$B$6:$B$91,0)))</f>
        <v>8.4615143251015734</v>
      </c>
      <c r="G281" s="91">
        <f>'IEPR Gas Prices Real'!G283*(INDEX('GDP Deflator'!$D$6:$D$91,MATCH('IEPR Gas Prices Nominal'!$B281,'GDP Deflator'!$B$6:$B$91,0)))</f>
        <v>3.2792119522902752</v>
      </c>
      <c r="H281" s="91">
        <f>'IEPR Gas Prices Real'!H283*(INDEX('GDP Deflator'!$D$6:$D$91,MATCH('IEPR Gas Prices Nominal'!$B281,'GDP Deflator'!$B$6:$B$91,0)))</f>
        <v>11.740726277391849</v>
      </c>
      <c r="I281" s="91">
        <f>'IEPR Gas Prices Real'!I283*(INDEX('GDP Deflator'!$D$6:$D$91,MATCH('IEPR Gas Prices Nominal'!$B281,'GDP Deflator'!$B$6:$B$91,0)))</f>
        <v>8.8724571998496149</v>
      </c>
      <c r="J281" s="91">
        <f>'IEPR Gas Prices Real'!J283*(INDEX('GDP Deflator'!$D$6:$D$91,MATCH('IEPR Gas Prices Nominal'!$B281,'GDP Deflator'!$B$6:$B$91,0)))</f>
        <v>5.4161807758842793</v>
      </c>
      <c r="K281" s="91">
        <f>'IEPR Gas Prices Real'!K283*(INDEX('GDP Deflator'!$D$6:$D$91,MATCH('IEPR Gas Prices Nominal'!$B281,'GDP Deflator'!$B$6:$B$91,0)))</f>
        <v>14.288637975733893</v>
      </c>
      <c r="L281" s="91">
        <f>'IEPR Gas Prices Real'!L283*(INDEX('GDP Deflator'!$D$6:$D$91,MATCH('IEPR Gas Prices Nominal'!$B281,'GDP Deflator'!$B$6:$B$91,0)))</f>
        <v>9.1975099761186652</v>
      </c>
      <c r="M281" s="91">
        <f>'IEPR Gas Prices Real'!M283*(INDEX('GDP Deflator'!$D$6:$D$91,MATCH('IEPR Gas Prices Nominal'!$B281,'GDP Deflator'!$B$6:$B$91,0)))</f>
        <v>2.557813508885963</v>
      </c>
      <c r="N281" s="91">
        <f>'IEPR Gas Prices Real'!N283*(INDEX('GDP Deflator'!$D$6:$D$91,MATCH('IEPR Gas Prices Nominal'!$B281,'GDP Deflator'!$B$6:$B$91,0)))</f>
        <v>11.755323485004627</v>
      </c>
      <c r="O281" s="19"/>
      <c r="P281" s="229">
        <f t="shared" si="27"/>
        <v>8.8438271670232851</v>
      </c>
      <c r="Q281" s="229">
        <f t="shared" si="31"/>
        <v>12.594895912710124</v>
      </c>
      <c r="R281" s="144"/>
    </row>
    <row r="282" spans="2:18">
      <c r="B282" s="142">
        <f t="shared" si="28"/>
        <v>2045</v>
      </c>
      <c r="C282" s="19">
        <f t="shared" si="29"/>
        <v>1</v>
      </c>
      <c r="D282" s="143">
        <v>52963</v>
      </c>
      <c r="E282" s="19" t="str">
        <f t="shared" si="30"/>
        <v>1-2045</v>
      </c>
      <c r="F282" s="91">
        <f>'IEPR Gas Prices Real'!F284*(INDEX('GDP Deflator'!$D$6:$D$91,MATCH('IEPR Gas Prices Nominal'!$B282,'GDP Deflator'!$B$6:$B$91,0)))</f>
        <v>8.6539188693781988</v>
      </c>
      <c r="G282" s="91">
        <f>'IEPR Gas Prices Real'!G284*(INDEX('GDP Deflator'!$D$6:$D$91,MATCH('IEPR Gas Prices Nominal'!$B282,'GDP Deflator'!$B$6:$B$91,0)))</f>
        <v>3.4872963697279586</v>
      </c>
      <c r="H282" s="91">
        <f>'IEPR Gas Prices Real'!H284*(INDEX('GDP Deflator'!$D$6:$D$91,MATCH('IEPR Gas Prices Nominal'!$B282,'GDP Deflator'!$B$6:$B$91,0)))</f>
        <v>12.14121523910616</v>
      </c>
      <c r="I282" s="91">
        <f>'IEPR Gas Prices Real'!I284*(INDEX('GDP Deflator'!$D$6:$D$91,MATCH('IEPR Gas Prices Nominal'!$B282,'GDP Deflator'!$B$6:$B$91,0)))</f>
        <v>9.0741116062347444</v>
      </c>
      <c r="J282" s="91">
        <f>'IEPR Gas Prices Real'!J284*(INDEX('GDP Deflator'!$D$6:$D$91,MATCH('IEPR Gas Prices Nominal'!$B282,'GDP Deflator'!$B$6:$B$91,0)))</f>
        <v>5.760616942781053</v>
      </c>
      <c r="K282" s="91">
        <f>'IEPR Gas Prices Real'!K284*(INDEX('GDP Deflator'!$D$6:$D$91,MATCH('IEPR Gas Prices Nominal'!$B282,'GDP Deflator'!$B$6:$B$91,0)))</f>
        <v>14.834728549015797</v>
      </c>
      <c r="L282" s="91">
        <f>'IEPR Gas Prices Real'!L284*(INDEX('GDP Deflator'!$D$6:$D$91,MATCH('IEPR Gas Prices Nominal'!$B282,'GDP Deflator'!$B$6:$B$91,0)))</f>
        <v>9.4065563363234812</v>
      </c>
      <c r="M282" s="91">
        <f>'IEPR Gas Prices Real'!M284*(INDEX('GDP Deflator'!$D$6:$D$91,MATCH('IEPR Gas Prices Nominal'!$B282,'GDP Deflator'!$B$6:$B$91,0)))</f>
        <v>2.7204748965117527</v>
      </c>
      <c r="N282" s="91">
        <f>'IEPR Gas Prices Real'!N284*(INDEX('GDP Deflator'!$D$6:$D$91,MATCH('IEPR Gas Prices Nominal'!$B282,'GDP Deflator'!$B$6:$B$91,0)))</f>
        <v>12.127031232835234</v>
      </c>
      <c r="O282" s="19"/>
      <c r="P282" s="229">
        <f t="shared" si="27"/>
        <v>9.0448622706454742</v>
      </c>
      <c r="Q282" s="229">
        <f t="shared" si="31"/>
        <v>13.03432500698573</v>
      </c>
      <c r="R282" s="144"/>
    </row>
    <row r="283" spans="2:18">
      <c r="B283" s="142">
        <f t="shared" si="28"/>
        <v>2045</v>
      </c>
      <c r="C283" s="19">
        <f t="shared" si="29"/>
        <v>2</v>
      </c>
      <c r="D283" s="143">
        <v>52994</v>
      </c>
      <c r="E283" s="19" t="str">
        <f t="shared" si="30"/>
        <v>2-2045</v>
      </c>
      <c r="F283" s="91">
        <f>'IEPR Gas Prices Real'!F285*(INDEX('GDP Deflator'!$D$6:$D$91,MATCH('IEPR Gas Prices Nominal'!$B283,'GDP Deflator'!$B$6:$B$91,0)))</f>
        <v>8.4641199367289861</v>
      </c>
      <c r="G283" s="91">
        <f>'IEPR Gas Prices Real'!G285*(INDEX('GDP Deflator'!$D$6:$D$91,MATCH('IEPR Gas Prices Nominal'!$B283,'GDP Deflator'!$B$6:$B$91,0)))</f>
        <v>3.4872963697279586</v>
      </c>
      <c r="H283" s="91">
        <f>'IEPR Gas Prices Real'!H285*(INDEX('GDP Deflator'!$D$6:$D$91,MATCH('IEPR Gas Prices Nominal'!$B283,'GDP Deflator'!$B$6:$B$91,0)))</f>
        <v>11.951416306456943</v>
      </c>
      <c r="I283" s="91">
        <f>'IEPR Gas Prices Real'!I285*(INDEX('GDP Deflator'!$D$6:$D$91,MATCH('IEPR Gas Prices Nominal'!$B283,'GDP Deflator'!$B$6:$B$91,0)))</f>
        <v>8.875004533032314</v>
      </c>
      <c r="J283" s="91">
        <f>'IEPR Gas Prices Real'!J285*(INDEX('GDP Deflator'!$D$6:$D$91,MATCH('IEPR Gas Prices Nominal'!$B283,'GDP Deflator'!$B$6:$B$91,0)))</f>
        <v>5.760616942781053</v>
      </c>
      <c r="K283" s="91">
        <f>'IEPR Gas Prices Real'!K285*(INDEX('GDP Deflator'!$D$6:$D$91,MATCH('IEPR Gas Prices Nominal'!$B283,'GDP Deflator'!$B$6:$B$91,0)))</f>
        <v>14.635621475813368</v>
      </c>
      <c r="L283" s="91">
        <f>'IEPR Gas Prices Real'!L285*(INDEX('GDP Deflator'!$D$6:$D$91,MATCH('IEPR Gas Prices Nominal'!$B283,'GDP Deflator'!$B$6:$B$91,0)))</f>
        <v>9.2001586746827293</v>
      </c>
      <c r="M283" s="91">
        <f>'IEPR Gas Prices Real'!M285*(INDEX('GDP Deflator'!$D$6:$D$91,MATCH('IEPR Gas Prices Nominal'!$B283,'GDP Deflator'!$B$6:$B$91,0)))</f>
        <v>2.7204748965117527</v>
      </c>
      <c r="N283" s="91">
        <f>'IEPR Gas Prices Real'!N285*(INDEX('GDP Deflator'!$D$6:$D$91,MATCH('IEPR Gas Prices Nominal'!$B283,'GDP Deflator'!$B$6:$B$91,0)))</f>
        <v>11.920633571194481</v>
      </c>
      <c r="O283" s="19"/>
      <c r="P283" s="229">
        <f t="shared" si="27"/>
        <v>8.846427714814677</v>
      </c>
      <c r="Q283" s="229">
        <f t="shared" si="31"/>
        <v>12.835890451154931</v>
      </c>
      <c r="R283" s="144"/>
    </row>
    <row r="284" spans="2:18">
      <c r="B284" s="142">
        <f t="shared" si="28"/>
        <v>2045</v>
      </c>
      <c r="C284" s="19">
        <f t="shared" si="29"/>
        <v>3</v>
      </c>
      <c r="D284" s="143">
        <v>53022</v>
      </c>
      <c r="E284" s="19" t="str">
        <f t="shared" si="30"/>
        <v>3-2045</v>
      </c>
      <c r="F284" s="91">
        <f>'IEPR Gas Prices Real'!F286*(INDEX('GDP Deflator'!$D$6:$D$91,MATCH('IEPR Gas Prices Nominal'!$B284,'GDP Deflator'!$B$6:$B$91,0)))</f>
        <v>7.7700277917188441</v>
      </c>
      <c r="G284" s="91">
        <f>'IEPR Gas Prices Real'!G286*(INDEX('GDP Deflator'!$D$6:$D$91,MATCH('IEPR Gas Prices Nominal'!$B284,'GDP Deflator'!$B$6:$B$91,0)))</f>
        <v>3.4872963697279586</v>
      </c>
      <c r="H284" s="91">
        <f>'IEPR Gas Prices Real'!H286*(INDEX('GDP Deflator'!$D$6:$D$91,MATCH('IEPR Gas Prices Nominal'!$B284,'GDP Deflator'!$B$6:$B$91,0)))</f>
        <v>11.257324161446801</v>
      </c>
      <c r="I284" s="91">
        <f>'IEPR Gas Prices Real'!I286*(INDEX('GDP Deflator'!$D$6:$D$91,MATCH('IEPR Gas Prices Nominal'!$B284,'GDP Deflator'!$B$6:$B$91,0)))</f>
        <v>8.1471333397860288</v>
      </c>
      <c r="J284" s="91">
        <f>'IEPR Gas Prices Real'!J286*(INDEX('GDP Deflator'!$D$6:$D$91,MATCH('IEPR Gas Prices Nominal'!$B284,'GDP Deflator'!$B$6:$B$91,0)))</f>
        <v>5.760616942781053</v>
      </c>
      <c r="K284" s="91">
        <f>'IEPR Gas Prices Real'!K286*(INDEX('GDP Deflator'!$D$6:$D$91,MATCH('IEPR Gas Prices Nominal'!$B284,'GDP Deflator'!$B$6:$B$91,0)))</f>
        <v>13.907750282567081</v>
      </c>
      <c r="L284" s="91">
        <f>'IEPR Gas Prices Real'!L286*(INDEX('GDP Deflator'!$D$6:$D$91,MATCH('IEPR Gas Prices Nominal'!$B284,'GDP Deflator'!$B$6:$B$91,0)))</f>
        <v>8.4456241066362772</v>
      </c>
      <c r="M284" s="91">
        <f>'IEPR Gas Prices Real'!M286*(INDEX('GDP Deflator'!$D$6:$D$91,MATCH('IEPR Gas Prices Nominal'!$B284,'GDP Deflator'!$B$6:$B$91,0)))</f>
        <v>2.7204748965117527</v>
      </c>
      <c r="N284" s="91">
        <f>'IEPR Gas Prices Real'!N286*(INDEX('GDP Deflator'!$D$6:$D$91,MATCH('IEPR Gas Prices Nominal'!$B284,'GDP Deflator'!$B$6:$B$91,0)))</f>
        <v>11.166099003148029</v>
      </c>
      <c r="O284" s="19"/>
      <c r="P284" s="229">
        <f t="shared" si="27"/>
        <v>8.1209284127137167</v>
      </c>
      <c r="Q284" s="229">
        <f t="shared" si="31"/>
        <v>12.110391149053969</v>
      </c>
      <c r="R284" s="144"/>
    </row>
    <row r="285" spans="2:18">
      <c r="B285" s="142">
        <f t="shared" si="28"/>
        <v>2045</v>
      </c>
      <c r="C285" s="19">
        <f t="shared" si="29"/>
        <v>4</v>
      </c>
      <c r="D285" s="143">
        <v>53053</v>
      </c>
      <c r="E285" s="19" t="str">
        <f t="shared" si="30"/>
        <v>4-2045</v>
      </c>
      <c r="F285" s="91">
        <f>'IEPR Gas Prices Real'!F287*(INDEX('GDP Deflator'!$D$6:$D$91,MATCH('IEPR Gas Prices Nominal'!$B285,'GDP Deflator'!$B$6:$B$91,0)))</f>
        <v>7.637761315152237</v>
      </c>
      <c r="G285" s="91">
        <f>'IEPR Gas Prices Real'!G287*(INDEX('GDP Deflator'!$D$6:$D$91,MATCH('IEPR Gas Prices Nominal'!$B285,'GDP Deflator'!$B$6:$B$91,0)))</f>
        <v>3.4872963697279586</v>
      </c>
      <c r="H285" s="91">
        <f>'IEPR Gas Prices Real'!H287*(INDEX('GDP Deflator'!$D$6:$D$91,MATCH('IEPR Gas Prices Nominal'!$B285,'GDP Deflator'!$B$6:$B$91,0)))</f>
        <v>11.125057684880195</v>
      </c>
      <c r="I285" s="91">
        <f>'IEPR Gas Prices Real'!I287*(INDEX('GDP Deflator'!$D$6:$D$91,MATCH('IEPR Gas Prices Nominal'!$B285,'GDP Deflator'!$B$6:$B$91,0)))</f>
        <v>8.0083641171966313</v>
      </c>
      <c r="J285" s="91">
        <f>'IEPR Gas Prices Real'!J287*(INDEX('GDP Deflator'!$D$6:$D$91,MATCH('IEPR Gas Prices Nominal'!$B285,'GDP Deflator'!$B$6:$B$91,0)))</f>
        <v>5.760616942781053</v>
      </c>
      <c r="K285" s="91">
        <f>'IEPR Gas Prices Real'!K287*(INDEX('GDP Deflator'!$D$6:$D$91,MATCH('IEPR Gas Prices Nominal'!$B285,'GDP Deflator'!$B$6:$B$91,0)))</f>
        <v>13.768981059977685</v>
      </c>
      <c r="L285" s="91">
        <f>'IEPR Gas Prices Real'!L287*(INDEX('GDP Deflator'!$D$6:$D$91,MATCH('IEPR Gas Prices Nominal'!$B285,'GDP Deflator'!$B$6:$B$91,0)))</f>
        <v>8.3017743526918064</v>
      </c>
      <c r="M285" s="91">
        <f>'IEPR Gas Prices Real'!M287*(INDEX('GDP Deflator'!$D$6:$D$91,MATCH('IEPR Gas Prices Nominal'!$B285,'GDP Deflator'!$B$6:$B$91,0)))</f>
        <v>2.7204748965117527</v>
      </c>
      <c r="N285" s="91">
        <f>'IEPR Gas Prices Real'!N287*(INDEX('GDP Deflator'!$D$6:$D$91,MATCH('IEPR Gas Prices Nominal'!$B285,'GDP Deflator'!$B$6:$B$91,0)))</f>
        <v>11.022249249203558</v>
      </c>
      <c r="O285" s="19"/>
      <c r="P285" s="229">
        <f t="shared" si="27"/>
        <v>7.9826332616802249</v>
      </c>
      <c r="Q285" s="229">
        <f t="shared" si="31"/>
        <v>11.972095998020478</v>
      </c>
      <c r="R285" s="144"/>
    </row>
    <row r="286" spans="2:18">
      <c r="B286" s="142">
        <f t="shared" si="28"/>
        <v>2045</v>
      </c>
      <c r="C286" s="19">
        <f t="shared" si="29"/>
        <v>5</v>
      </c>
      <c r="D286" s="143">
        <v>53083</v>
      </c>
      <c r="E286" s="19" t="str">
        <f t="shared" si="30"/>
        <v>5-2045</v>
      </c>
      <c r="F286" s="91">
        <f>'IEPR Gas Prices Real'!F288*(INDEX('GDP Deflator'!$D$6:$D$91,MATCH('IEPR Gas Prices Nominal'!$B286,'GDP Deflator'!$B$6:$B$91,0)))</f>
        <v>7.903520045596963</v>
      </c>
      <c r="G286" s="91">
        <f>'IEPR Gas Prices Real'!G288*(INDEX('GDP Deflator'!$D$6:$D$91,MATCH('IEPR Gas Prices Nominal'!$B286,'GDP Deflator'!$B$6:$B$91,0)))</f>
        <v>3.4872963697279586</v>
      </c>
      <c r="H286" s="91">
        <f>'IEPR Gas Prices Real'!H288*(INDEX('GDP Deflator'!$D$6:$D$91,MATCH('IEPR Gas Prices Nominal'!$B286,'GDP Deflator'!$B$6:$B$91,0)))</f>
        <v>11.39081641532492</v>
      </c>
      <c r="I286" s="91">
        <f>'IEPR Gas Prices Real'!I288*(INDEX('GDP Deflator'!$D$6:$D$91,MATCH('IEPR Gas Prices Nominal'!$B286,'GDP Deflator'!$B$6:$B$91,0)))</f>
        <v>8.28693178888871</v>
      </c>
      <c r="J286" s="91">
        <f>'IEPR Gas Prices Real'!J288*(INDEX('GDP Deflator'!$D$6:$D$91,MATCH('IEPR Gas Prices Nominal'!$B286,'GDP Deflator'!$B$6:$B$91,0)))</f>
        <v>5.760616942781053</v>
      </c>
      <c r="K286" s="91">
        <f>'IEPR Gas Prices Real'!K288*(INDEX('GDP Deflator'!$D$6:$D$91,MATCH('IEPR Gas Prices Nominal'!$B286,'GDP Deflator'!$B$6:$B$91,0)))</f>
        <v>14.047548731669762</v>
      </c>
      <c r="L286" s="91">
        <f>'IEPR Gas Prices Real'!L288*(INDEX('GDP Deflator'!$D$6:$D$91,MATCH('IEPR Gas Prices Nominal'!$B286,'GDP Deflator'!$B$6:$B$91,0)))</f>
        <v>8.5905519350624076</v>
      </c>
      <c r="M286" s="91">
        <f>'IEPR Gas Prices Real'!M288*(INDEX('GDP Deflator'!$D$6:$D$91,MATCH('IEPR Gas Prices Nominal'!$B286,'GDP Deflator'!$B$6:$B$91,0)))</f>
        <v>2.7204748965117527</v>
      </c>
      <c r="N286" s="91">
        <f>'IEPR Gas Prices Real'!N288*(INDEX('GDP Deflator'!$D$6:$D$91,MATCH('IEPR Gas Prices Nominal'!$B286,'GDP Deflator'!$B$6:$B$91,0)))</f>
        <v>11.311026831574161</v>
      </c>
      <c r="O286" s="19"/>
      <c r="P286" s="229">
        <f t="shared" si="27"/>
        <v>8.260334589849359</v>
      </c>
      <c r="Q286" s="229">
        <f t="shared" si="31"/>
        <v>12.249797326189615</v>
      </c>
      <c r="R286" s="144"/>
    </row>
    <row r="287" spans="2:18">
      <c r="B287" s="142">
        <f t="shared" si="28"/>
        <v>2045</v>
      </c>
      <c r="C287" s="19">
        <f t="shared" si="29"/>
        <v>6</v>
      </c>
      <c r="D287" s="143">
        <v>53114</v>
      </c>
      <c r="E287" s="19" t="str">
        <f t="shared" si="30"/>
        <v>6-2045</v>
      </c>
      <c r="F287" s="91">
        <f>'IEPR Gas Prices Real'!F289*(INDEX('GDP Deflator'!$D$6:$D$91,MATCH('IEPR Gas Prices Nominal'!$B287,'GDP Deflator'!$B$6:$B$91,0)))</f>
        <v>8.107784023780626</v>
      </c>
      <c r="G287" s="91">
        <f>'IEPR Gas Prices Real'!G289*(INDEX('GDP Deflator'!$D$6:$D$91,MATCH('IEPR Gas Prices Nominal'!$B287,'GDP Deflator'!$B$6:$B$91,0)))</f>
        <v>3.4872963697279586</v>
      </c>
      <c r="H287" s="91">
        <f>'IEPR Gas Prices Real'!H289*(INDEX('GDP Deflator'!$D$6:$D$91,MATCH('IEPR Gas Prices Nominal'!$B287,'GDP Deflator'!$B$6:$B$91,0)))</f>
        <v>11.595080393508585</v>
      </c>
      <c r="I287" s="91">
        <f>'IEPR Gas Prices Real'!I289*(INDEX('GDP Deflator'!$D$6:$D$91,MATCH('IEPR Gas Prices Nominal'!$B287,'GDP Deflator'!$B$6:$B$91,0)))</f>
        <v>8.5010163624895814</v>
      </c>
      <c r="J287" s="91">
        <f>'IEPR Gas Prices Real'!J289*(INDEX('GDP Deflator'!$D$6:$D$91,MATCH('IEPR Gas Prices Nominal'!$B287,'GDP Deflator'!$B$6:$B$91,0)))</f>
        <v>5.760616942781053</v>
      </c>
      <c r="K287" s="91">
        <f>'IEPR Gas Prices Real'!K289*(INDEX('GDP Deflator'!$D$6:$D$91,MATCH('IEPR Gas Prices Nominal'!$B287,'GDP Deflator'!$B$6:$B$91,0)))</f>
        <v>14.261633305270635</v>
      </c>
      <c r="L287" s="91">
        <f>'IEPR Gas Prices Real'!L289*(INDEX('GDP Deflator'!$D$6:$D$91,MATCH('IEPR Gas Prices Nominal'!$B287,'GDP Deflator'!$B$6:$B$91,0)))</f>
        <v>8.8124840837783047</v>
      </c>
      <c r="M287" s="91">
        <f>'IEPR Gas Prices Real'!M289*(INDEX('GDP Deflator'!$D$6:$D$91,MATCH('IEPR Gas Prices Nominal'!$B287,'GDP Deflator'!$B$6:$B$91,0)))</f>
        <v>2.7204748965117527</v>
      </c>
      <c r="N287" s="91">
        <f>'IEPR Gas Prices Real'!N289*(INDEX('GDP Deflator'!$D$6:$D$91,MATCH('IEPR Gas Prices Nominal'!$B287,'GDP Deflator'!$B$6:$B$91,0)))</f>
        <v>11.532958980290058</v>
      </c>
      <c r="O287" s="19"/>
      <c r="P287" s="229">
        <f t="shared" si="27"/>
        <v>8.4737614900161713</v>
      </c>
      <c r="Q287" s="229">
        <f t="shared" si="31"/>
        <v>12.463224226356425</v>
      </c>
      <c r="R287" s="144"/>
    </row>
    <row r="288" spans="2:18">
      <c r="B288" s="142">
        <f t="shared" si="28"/>
        <v>2045</v>
      </c>
      <c r="C288" s="19">
        <f t="shared" si="29"/>
        <v>7</v>
      </c>
      <c r="D288" s="143">
        <v>53144</v>
      </c>
      <c r="E288" s="19" t="str">
        <f t="shared" si="30"/>
        <v>7-2045</v>
      </c>
      <c r="F288" s="91">
        <f>'IEPR Gas Prices Real'!F290*(INDEX('GDP Deflator'!$D$6:$D$91,MATCH('IEPR Gas Prices Nominal'!$B288,'GDP Deflator'!$B$6:$B$91,0)))</f>
        <v>8.1720482339304752</v>
      </c>
      <c r="G288" s="91">
        <f>'IEPR Gas Prices Real'!G290*(INDEX('GDP Deflator'!$D$6:$D$91,MATCH('IEPR Gas Prices Nominal'!$B288,'GDP Deflator'!$B$6:$B$91,0)))</f>
        <v>3.4872963697279586</v>
      </c>
      <c r="H288" s="91">
        <f>'IEPR Gas Prices Real'!H290*(INDEX('GDP Deflator'!$D$6:$D$91,MATCH('IEPR Gas Prices Nominal'!$B288,'GDP Deflator'!$B$6:$B$91,0)))</f>
        <v>11.659344603658433</v>
      </c>
      <c r="I288" s="91">
        <f>'IEPR Gas Prices Real'!I290*(INDEX('GDP Deflator'!$D$6:$D$91,MATCH('IEPR Gas Prices Nominal'!$B288,'GDP Deflator'!$B$6:$B$91,0)))</f>
        <v>8.5683081543679496</v>
      </c>
      <c r="J288" s="91">
        <f>'IEPR Gas Prices Real'!J290*(INDEX('GDP Deflator'!$D$6:$D$91,MATCH('IEPR Gas Prices Nominal'!$B288,'GDP Deflator'!$B$6:$B$91,0)))</f>
        <v>5.760616942781053</v>
      </c>
      <c r="K288" s="91">
        <f>'IEPR Gas Prices Real'!K290*(INDEX('GDP Deflator'!$D$6:$D$91,MATCH('IEPR Gas Prices Nominal'!$B288,'GDP Deflator'!$B$6:$B$91,0)))</f>
        <v>14.328925097149002</v>
      </c>
      <c r="L288" s="91">
        <f>'IEPR Gas Prices Real'!L290*(INDEX('GDP Deflator'!$D$6:$D$91,MATCH('IEPR Gas Prices Nominal'!$B288,'GDP Deflator'!$B$6:$B$91,0)))</f>
        <v>8.8822452556015055</v>
      </c>
      <c r="M288" s="91">
        <f>'IEPR Gas Prices Real'!M290*(INDEX('GDP Deflator'!$D$6:$D$91,MATCH('IEPR Gas Prices Nominal'!$B288,'GDP Deflator'!$B$6:$B$91,0)))</f>
        <v>2.7204748965117527</v>
      </c>
      <c r="N288" s="91">
        <f>'IEPR Gas Prices Real'!N290*(INDEX('GDP Deflator'!$D$6:$D$91,MATCH('IEPR Gas Prices Nominal'!$B288,'GDP Deflator'!$B$6:$B$91,0)))</f>
        <v>11.602720152113259</v>
      </c>
      <c r="O288" s="19"/>
      <c r="P288" s="229">
        <f t="shared" si="27"/>
        <v>8.5408672146333089</v>
      </c>
      <c r="Q288" s="229">
        <f t="shared" si="31"/>
        <v>12.530329950973565</v>
      </c>
      <c r="R288" s="144"/>
    </row>
    <row r="289" spans="2:18">
      <c r="B289" s="142">
        <f t="shared" si="28"/>
        <v>2045</v>
      </c>
      <c r="C289" s="19">
        <f t="shared" si="29"/>
        <v>8</v>
      </c>
      <c r="D289" s="143">
        <v>53175</v>
      </c>
      <c r="E289" s="19" t="str">
        <f t="shared" si="30"/>
        <v>8-2045</v>
      </c>
      <c r="F289" s="91">
        <f>'IEPR Gas Prices Real'!F291*(INDEX('GDP Deflator'!$D$6:$D$91,MATCH('IEPR Gas Prices Nominal'!$B289,'GDP Deflator'!$B$6:$B$91,0)))</f>
        <v>8.1088688046111645</v>
      </c>
      <c r="G289" s="91">
        <f>'IEPR Gas Prices Real'!G291*(INDEX('GDP Deflator'!$D$6:$D$91,MATCH('IEPR Gas Prices Nominal'!$B289,'GDP Deflator'!$B$6:$B$91,0)))</f>
        <v>3.4872963697279586</v>
      </c>
      <c r="H289" s="91">
        <f>'IEPR Gas Prices Real'!H291*(INDEX('GDP Deflator'!$D$6:$D$91,MATCH('IEPR Gas Prices Nominal'!$B289,'GDP Deflator'!$B$6:$B$91,0)))</f>
        <v>11.596165174339122</v>
      </c>
      <c r="I289" s="91">
        <f>'IEPR Gas Prices Real'!I291*(INDEX('GDP Deflator'!$D$6:$D$91,MATCH('IEPR Gas Prices Nominal'!$B289,'GDP Deflator'!$B$6:$B$91,0)))</f>
        <v>8.5019765862632433</v>
      </c>
      <c r="J289" s="91">
        <f>'IEPR Gas Prices Real'!J291*(INDEX('GDP Deflator'!$D$6:$D$91,MATCH('IEPR Gas Prices Nominal'!$B289,'GDP Deflator'!$B$6:$B$91,0)))</f>
        <v>5.760616942781053</v>
      </c>
      <c r="K289" s="91">
        <f>'IEPR Gas Prices Real'!K291*(INDEX('GDP Deflator'!$D$6:$D$91,MATCH('IEPR Gas Prices Nominal'!$B289,'GDP Deflator'!$B$6:$B$91,0)))</f>
        <v>14.262593529044297</v>
      </c>
      <c r="L289" s="91">
        <f>'IEPR Gas Prices Real'!L291*(INDEX('GDP Deflator'!$D$6:$D$91,MATCH('IEPR Gas Prices Nominal'!$B289,'GDP Deflator'!$B$6:$B$91,0)))</f>
        <v>8.8134871974652853</v>
      </c>
      <c r="M289" s="91">
        <f>'IEPR Gas Prices Real'!M291*(INDEX('GDP Deflator'!$D$6:$D$91,MATCH('IEPR Gas Prices Nominal'!$B289,'GDP Deflator'!$B$6:$B$91,0)))</f>
        <v>2.7204748965117527</v>
      </c>
      <c r="N289" s="91">
        <f>'IEPR Gas Prices Real'!N291*(INDEX('GDP Deflator'!$D$6:$D$91,MATCH('IEPR Gas Prices Nominal'!$B289,'GDP Deflator'!$B$6:$B$91,0)))</f>
        <v>11.533962093977038</v>
      </c>
      <c r="O289" s="19"/>
      <c r="P289" s="229">
        <f t="shared" si="27"/>
        <v>8.4747775294465644</v>
      </c>
      <c r="Q289" s="229">
        <f t="shared" si="31"/>
        <v>12.464240265786819</v>
      </c>
      <c r="R289" s="144"/>
    </row>
    <row r="290" spans="2:18">
      <c r="B290" s="142">
        <f t="shared" si="28"/>
        <v>2045</v>
      </c>
      <c r="C290" s="19">
        <f t="shared" si="29"/>
        <v>9</v>
      </c>
      <c r="D290" s="143">
        <v>53206</v>
      </c>
      <c r="E290" s="19" t="str">
        <f t="shared" si="30"/>
        <v>9-2045</v>
      </c>
      <c r="F290" s="91">
        <f>'IEPR Gas Prices Real'!F292*(INDEX('GDP Deflator'!$D$6:$D$91,MATCH('IEPR Gas Prices Nominal'!$B290,'GDP Deflator'!$B$6:$B$91,0)))</f>
        <v>8.2228685620015689</v>
      </c>
      <c r="G290" s="91">
        <f>'IEPR Gas Prices Real'!G292*(INDEX('GDP Deflator'!$D$6:$D$91,MATCH('IEPR Gas Prices Nominal'!$B290,'GDP Deflator'!$B$6:$B$91,0)))</f>
        <v>3.4872963697279586</v>
      </c>
      <c r="H290" s="91">
        <f>'IEPR Gas Prices Real'!H292*(INDEX('GDP Deflator'!$D$6:$D$91,MATCH('IEPR Gas Prices Nominal'!$B290,'GDP Deflator'!$B$6:$B$91,0)))</f>
        <v>11.710164931729528</v>
      </c>
      <c r="I290" s="91">
        <f>'IEPR Gas Prices Real'!I292*(INDEX('GDP Deflator'!$D$6:$D$91,MATCH('IEPR Gas Prices Nominal'!$B290,'GDP Deflator'!$B$6:$B$91,0)))</f>
        <v>8.621413065448543</v>
      </c>
      <c r="J290" s="91">
        <f>'IEPR Gas Prices Real'!J292*(INDEX('GDP Deflator'!$D$6:$D$91,MATCH('IEPR Gas Prices Nominal'!$B290,'GDP Deflator'!$B$6:$B$91,0)))</f>
        <v>5.760616942781053</v>
      </c>
      <c r="K290" s="91">
        <f>'IEPR Gas Prices Real'!K292*(INDEX('GDP Deflator'!$D$6:$D$91,MATCH('IEPR Gas Prices Nominal'!$B290,'GDP Deflator'!$B$6:$B$91,0)))</f>
        <v>14.382030008229597</v>
      </c>
      <c r="L290" s="91">
        <f>'IEPR Gas Prices Real'!L292*(INDEX('GDP Deflator'!$D$6:$D$91,MATCH('IEPR Gas Prices Nominal'!$B290,'GDP Deflator'!$B$6:$B$91,0)))</f>
        <v>8.9373037128426382</v>
      </c>
      <c r="M290" s="91">
        <f>'IEPR Gas Prices Real'!M292*(INDEX('GDP Deflator'!$D$6:$D$91,MATCH('IEPR Gas Prices Nominal'!$B290,'GDP Deflator'!$B$6:$B$91,0)))</f>
        <v>2.7204748965117527</v>
      </c>
      <c r="N290" s="91">
        <f>'IEPR Gas Prices Real'!N292*(INDEX('GDP Deflator'!$D$6:$D$91,MATCH('IEPR Gas Prices Nominal'!$B290,'GDP Deflator'!$B$6:$B$91,0)))</f>
        <v>11.657778609354391</v>
      </c>
      <c r="O290" s="19"/>
      <c r="P290" s="229">
        <f t="shared" si="27"/>
        <v>8.5938617800975834</v>
      </c>
      <c r="Q290" s="229">
        <f t="shared" si="31"/>
        <v>12.583324516437839</v>
      </c>
      <c r="R290" s="144"/>
    </row>
    <row r="291" spans="2:18">
      <c r="B291" s="142">
        <f t="shared" si="28"/>
        <v>2045</v>
      </c>
      <c r="C291" s="19">
        <f t="shared" si="29"/>
        <v>10</v>
      </c>
      <c r="D291" s="143">
        <v>53236</v>
      </c>
      <c r="E291" s="19" t="str">
        <f t="shared" si="30"/>
        <v>10-2045</v>
      </c>
      <c r="F291" s="91">
        <f>'IEPR Gas Prices Real'!F293*(INDEX('GDP Deflator'!$D$6:$D$91,MATCH('IEPR Gas Prices Nominal'!$B291,'GDP Deflator'!$B$6:$B$91,0)))</f>
        <v>8.1754259934870124</v>
      </c>
      <c r="G291" s="91">
        <f>'IEPR Gas Prices Real'!G293*(INDEX('GDP Deflator'!$D$6:$D$91,MATCH('IEPR Gas Prices Nominal'!$B291,'GDP Deflator'!$B$6:$B$91,0)))</f>
        <v>3.4872963697279586</v>
      </c>
      <c r="H291" s="91">
        <f>'IEPR Gas Prices Real'!H293*(INDEX('GDP Deflator'!$D$6:$D$91,MATCH('IEPR Gas Prices Nominal'!$B291,'GDP Deflator'!$B$6:$B$91,0)))</f>
        <v>11.662722363214971</v>
      </c>
      <c r="I291" s="91">
        <f>'IEPR Gas Prices Real'!I293*(INDEX('GDP Deflator'!$D$6:$D$91,MATCH('IEPR Gas Prices Nominal'!$B291,'GDP Deflator'!$B$6:$B$91,0)))</f>
        <v>8.5715817253828206</v>
      </c>
      <c r="J291" s="91">
        <f>'IEPR Gas Prices Real'!J293*(INDEX('GDP Deflator'!$D$6:$D$91,MATCH('IEPR Gas Prices Nominal'!$B291,'GDP Deflator'!$B$6:$B$91,0)))</f>
        <v>5.760616942781053</v>
      </c>
      <c r="K291" s="91">
        <f>'IEPR Gas Prices Real'!K293*(INDEX('GDP Deflator'!$D$6:$D$91,MATCH('IEPR Gas Prices Nominal'!$B291,'GDP Deflator'!$B$6:$B$91,0)))</f>
        <v>14.332198668163874</v>
      </c>
      <c r="L291" s="91">
        <f>'IEPR Gas Prices Real'!L293*(INDEX('GDP Deflator'!$D$6:$D$91,MATCH('IEPR Gas Prices Nominal'!$B291,'GDP Deflator'!$B$6:$B$91,0)))</f>
        <v>8.8856504273989199</v>
      </c>
      <c r="M291" s="91">
        <f>'IEPR Gas Prices Real'!M293*(INDEX('GDP Deflator'!$D$6:$D$91,MATCH('IEPR Gas Prices Nominal'!$B291,'GDP Deflator'!$B$6:$B$91,0)))</f>
        <v>2.7204748965117527</v>
      </c>
      <c r="N291" s="91">
        <f>'IEPR Gas Prices Real'!N293*(INDEX('GDP Deflator'!$D$6:$D$91,MATCH('IEPR Gas Prices Nominal'!$B291,'GDP Deflator'!$B$6:$B$91,0)))</f>
        <v>11.606125323910671</v>
      </c>
      <c r="O291" s="19"/>
      <c r="P291" s="229">
        <f t="shared" si="27"/>
        <v>8.5442193820895849</v>
      </c>
      <c r="Q291" s="229">
        <f t="shared" si="31"/>
        <v>12.533682118429837</v>
      </c>
      <c r="R291" s="144"/>
    </row>
    <row r="292" spans="2:18">
      <c r="B292" s="142">
        <f t="shared" si="28"/>
        <v>2045</v>
      </c>
      <c r="C292" s="19">
        <f t="shared" si="29"/>
        <v>11</v>
      </c>
      <c r="D292" s="143">
        <v>53267</v>
      </c>
      <c r="E292" s="19" t="str">
        <f t="shared" si="30"/>
        <v>11-2045</v>
      </c>
      <c r="F292" s="91">
        <f>'IEPR Gas Prices Real'!F294*(INDEX('GDP Deflator'!$D$6:$D$91,MATCH('IEPR Gas Prices Nominal'!$B292,'GDP Deflator'!$B$6:$B$91,0)))</f>
        <v>8.5794503779658253</v>
      </c>
      <c r="G292" s="91">
        <f>'IEPR Gas Prices Real'!G294*(INDEX('GDP Deflator'!$D$6:$D$91,MATCH('IEPR Gas Prices Nominal'!$B292,'GDP Deflator'!$B$6:$B$91,0)))</f>
        <v>3.4872963697279586</v>
      </c>
      <c r="H292" s="91">
        <f>'IEPR Gas Prices Real'!H294*(INDEX('GDP Deflator'!$D$6:$D$91,MATCH('IEPR Gas Prices Nominal'!$B292,'GDP Deflator'!$B$6:$B$91,0)))</f>
        <v>12.066746747693783</v>
      </c>
      <c r="I292" s="91">
        <f>'IEPR Gas Prices Real'!I294*(INDEX('GDP Deflator'!$D$6:$D$91,MATCH('IEPR Gas Prices Nominal'!$B292,'GDP Deflator'!$B$6:$B$91,0)))</f>
        <v>8.9950901179716976</v>
      </c>
      <c r="J292" s="91">
        <f>'IEPR Gas Prices Real'!J294*(INDEX('GDP Deflator'!$D$6:$D$91,MATCH('IEPR Gas Prices Nominal'!$B292,'GDP Deflator'!$B$6:$B$91,0)))</f>
        <v>5.760616942781053</v>
      </c>
      <c r="K292" s="91">
        <f>'IEPR Gas Prices Real'!K294*(INDEX('GDP Deflator'!$D$6:$D$91,MATCH('IEPR Gas Prices Nominal'!$B292,'GDP Deflator'!$B$6:$B$91,0)))</f>
        <v>14.75570706075275</v>
      </c>
      <c r="L292" s="91">
        <f>'IEPR Gas Prices Real'!L294*(INDEX('GDP Deflator'!$D$6:$D$91,MATCH('IEPR Gas Prices Nominal'!$B292,'GDP Deflator'!$B$6:$B$91,0)))</f>
        <v>9.3246805407856765</v>
      </c>
      <c r="M292" s="91">
        <f>'IEPR Gas Prices Real'!M294*(INDEX('GDP Deflator'!$D$6:$D$91,MATCH('IEPR Gas Prices Nominal'!$B292,'GDP Deflator'!$B$6:$B$91,0)))</f>
        <v>2.7204748965117527</v>
      </c>
      <c r="N292" s="91">
        <f>'IEPR Gas Prices Real'!N294*(INDEX('GDP Deflator'!$D$6:$D$91,MATCH('IEPR Gas Prices Nominal'!$B292,'GDP Deflator'!$B$6:$B$91,0)))</f>
        <v>12.04515543729743</v>
      </c>
      <c r="O292" s="19"/>
      <c r="P292" s="229">
        <f t="shared" si="27"/>
        <v>8.9664070122410653</v>
      </c>
      <c r="Q292" s="229">
        <f t="shared" si="31"/>
        <v>12.955869748581321</v>
      </c>
      <c r="R292" s="144"/>
    </row>
    <row r="293" spans="2:18">
      <c r="B293" s="142">
        <f t="shared" si="28"/>
        <v>2045</v>
      </c>
      <c r="C293" s="19">
        <f t="shared" si="29"/>
        <v>12</v>
      </c>
      <c r="D293" s="143">
        <v>53297</v>
      </c>
      <c r="E293" s="19" t="str">
        <f t="shared" si="30"/>
        <v>12-2045</v>
      </c>
      <c r="F293" s="91">
        <f>'IEPR Gas Prices Real'!F295*(INDEX('GDP Deflator'!$D$6:$D$91,MATCH('IEPR Gas Prices Nominal'!$B293,'GDP Deflator'!$B$6:$B$91,0)))</f>
        <v>8.6483973494058848</v>
      </c>
      <c r="G293" s="91">
        <f>'IEPR Gas Prices Real'!G295*(INDEX('GDP Deflator'!$D$6:$D$91,MATCH('IEPR Gas Prices Nominal'!$B293,'GDP Deflator'!$B$6:$B$91,0)))</f>
        <v>3.4872963697279586</v>
      </c>
      <c r="H293" s="91">
        <f>'IEPR Gas Prices Real'!H295*(INDEX('GDP Deflator'!$D$6:$D$91,MATCH('IEPR Gas Prices Nominal'!$B293,'GDP Deflator'!$B$6:$B$91,0)))</f>
        <v>12.135693719133844</v>
      </c>
      <c r="I293" s="91">
        <f>'IEPR Gas Prices Real'!I295*(INDEX('GDP Deflator'!$D$6:$D$91,MATCH('IEPR Gas Prices Nominal'!$B293,'GDP Deflator'!$B$6:$B$91,0)))</f>
        <v>9.0672827714306585</v>
      </c>
      <c r="J293" s="91">
        <f>'IEPR Gas Prices Real'!J295*(INDEX('GDP Deflator'!$D$6:$D$91,MATCH('IEPR Gas Prices Nominal'!$B293,'GDP Deflator'!$B$6:$B$91,0)))</f>
        <v>5.760616942781053</v>
      </c>
      <c r="K293" s="91">
        <f>'IEPR Gas Prices Real'!K295*(INDEX('GDP Deflator'!$D$6:$D$91,MATCH('IEPR Gas Prices Nominal'!$B293,'GDP Deflator'!$B$6:$B$91,0)))</f>
        <v>14.827899714211712</v>
      </c>
      <c r="L293" s="91">
        <f>'IEPR Gas Prices Real'!L295*(INDEX('GDP Deflator'!$D$6:$D$91,MATCH('IEPR Gas Prices Nominal'!$B293,'GDP Deflator'!$B$6:$B$91,0)))</f>
        <v>9.3995225285614268</v>
      </c>
      <c r="M293" s="91">
        <f>'IEPR Gas Prices Real'!M295*(INDEX('GDP Deflator'!$D$6:$D$91,MATCH('IEPR Gas Prices Nominal'!$B293,'GDP Deflator'!$B$6:$B$91,0)))</f>
        <v>2.7204748965117527</v>
      </c>
      <c r="N293" s="91">
        <f>'IEPR Gas Prices Real'!N295*(INDEX('GDP Deflator'!$D$6:$D$91,MATCH('IEPR Gas Prices Nominal'!$B293,'GDP Deflator'!$B$6:$B$91,0)))</f>
        <v>12.119997425073178</v>
      </c>
      <c r="O293" s="19"/>
      <c r="P293" s="229">
        <f t="shared" si="27"/>
        <v>9.0384008831326579</v>
      </c>
      <c r="Q293" s="229">
        <f t="shared" si="31"/>
        <v>13.027863619472912</v>
      </c>
      <c r="R293" s="144"/>
    </row>
    <row r="294" spans="2:18">
      <c r="B294" s="142">
        <f t="shared" si="28"/>
        <v>2046</v>
      </c>
      <c r="C294" s="19">
        <f t="shared" si="29"/>
        <v>1</v>
      </c>
      <c r="D294" s="143">
        <v>53328</v>
      </c>
      <c r="E294" s="19" t="str">
        <f t="shared" si="30"/>
        <v>1-2046</v>
      </c>
      <c r="F294" s="91">
        <f>'IEPR Gas Prices Real'!F296*(INDEX('GDP Deflator'!$D$6:$D$91,MATCH('IEPR Gas Prices Nominal'!$B294,'GDP Deflator'!$B$6:$B$91,0)))</f>
        <v>8.8452617044600217</v>
      </c>
      <c r="G294" s="91">
        <f>'IEPR Gas Prices Real'!G296*(INDEX('GDP Deflator'!$D$6:$D$91,MATCH('IEPR Gas Prices Nominal'!$B294,'GDP Deflator'!$B$6:$B$91,0)))</f>
        <v>3.7086712128445294</v>
      </c>
      <c r="H294" s="91">
        <f>'IEPR Gas Prices Real'!H296*(INDEX('GDP Deflator'!$D$6:$D$91,MATCH('IEPR Gas Prices Nominal'!$B294,'GDP Deflator'!$B$6:$B$91,0)))</f>
        <v>12.55393291730455</v>
      </c>
      <c r="I294" s="91">
        <f>'IEPR Gas Prices Real'!I296*(INDEX('GDP Deflator'!$D$6:$D$91,MATCH('IEPR Gas Prices Nominal'!$B294,'GDP Deflator'!$B$6:$B$91,0)))</f>
        <v>9.2735879909928371</v>
      </c>
      <c r="J294" s="91">
        <f>'IEPR Gas Prices Real'!J296*(INDEX('GDP Deflator'!$D$6:$D$91,MATCH('IEPR Gas Prices Nominal'!$B294,'GDP Deflator'!$B$6:$B$91,0)))</f>
        <v>6.1270996085014193</v>
      </c>
      <c r="K294" s="91">
        <f>'IEPR Gas Prices Real'!K296*(INDEX('GDP Deflator'!$D$6:$D$91,MATCH('IEPR Gas Prices Nominal'!$B294,'GDP Deflator'!$B$6:$B$91,0)))</f>
        <v>15.400687599494256</v>
      </c>
      <c r="L294" s="91">
        <f>'IEPR Gas Prices Real'!L296*(INDEX('GDP Deflator'!$D$6:$D$91,MATCH('IEPR Gas Prices Nominal'!$B294,'GDP Deflator'!$B$6:$B$91,0)))</f>
        <v>9.6133904781859716</v>
      </c>
      <c r="M294" s="91">
        <f>'IEPR Gas Prices Real'!M296*(INDEX('GDP Deflator'!$D$6:$D$91,MATCH('IEPR Gas Prices Nominal'!$B294,'GDP Deflator'!$B$6:$B$91,0)))</f>
        <v>2.893547833317311</v>
      </c>
      <c r="N294" s="91">
        <f>'IEPR Gas Prices Real'!N296*(INDEX('GDP Deflator'!$D$6:$D$91,MATCH('IEPR Gas Prices Nominal'!$B294,'GDP Deflator'!$B$6:$B$91,0)))</f>
        <v>12.506938311503284</v>
      </c>
      <c r="O294" s="19"/>
      <c r="P294" s="229">
        <f t="shared" si="27"/>
        <v>9.244080057879609</v>
      </c>
      <c r="Q294" s="229">
        <f t="shared" si="31"/>
        <v>13.487186276100696</v>
      </c>
      <c r="R294" s="144"/>
    </row>
    <row r="295" spans="2:18">
      <c r="B295" s="142">
        <f t="shared" si="28"/>
        <v>2046</v>
      </c>
      <c r="C295" s="19">
        <f t="shared" si="29"/>
        <v>2</v>
      </c>
      <c r="D295" s="143">
        <v>53359</v>
      </c>
      <c r="E295" s="19" t="str">
        <f t="shared" si="30"/>
        <v>2-2046</v>
      </c>
      <c r="F295" s="91">
        <f>'IEPR Gas Prices Real'!F297*(INDEX('GDP Deflator'!$D$6:$D$91,MATCH('IEPR Gas Prices Nominal'!$B295,'GDP Deflator'!$B$6:$B$91,0)))</f>
        <v>8.6512707817856924</v>
      </c>
      <c r="G295" s="91">
        <f>'IEPR Gas Prices Real'!G297*(INDEX('GDP Deflator'!$D$6:$D$91,MATCH('IEPR Gas Prices Nominal'!$B295,'GDP Deflator'!$B$6:$B$91,0)))</f>
        <v>3.7086712128445294</v>
      </c>
      <c r="H295" s="91">
        <f>'IEPR Gas Prices Real'!H297*(INDEX('GDP Deflator'!$D$6:$D$91,MATCH('IEPR Gas Prices Nominal'!$B295,'GDP Deflator'!$B$6:$B$91,0)))</f>
        <v>12.359941994630221</v>
      </c>
      <c r="I295" s="91">
        <f>'IEPR Gas Prices Real'!I297*(INDEX('GDP Deflator'!$D$6:$D$91,MATCH('IEPR Gas Prices Nominal'!$B295,'GDP Deflator'!$B$6:$B$91,0)))</f>
        <v>9.0701109699999041</v>
      </c>
      <c r="J295" s="91">
        <f>'IEPR Gas Prices Real'!J297*(INDEX('GDP Deflator'!$D$6:$D$91,MATCH('IEPR Gas Prices Nominal'!$B295,'GDP Deflator'!$B$6:$B$91,0)))</f>
        <v>6.1270996085014193</v>
      </c>
      <c r="K295" s="91">
        <f>'IEPR Gas Prices Real'!K297*(INDEX('GDP Deflator'!$D$6:$D$91,MATCH('IEPR Gas Prices Nominal'!$B295,'GDP Deflator'!$B$6:$B$91,0)))</f>
        <v>15.197210578501323</v>
      </c>
      <c r="L295" s="91">
        <f>'IEPR Gas Prices Real'!L297*(INDEX('GDP Deflator'!$D$6:$D$91,MATCH('IEPR Gas Prices Nominal'!$B295,'GDP Deflator'!$B$6:$B$91,0)))</f>
        <v>9.4024609621292168</v>
      </c>
      <c r="M295" s="91">
        <f>'IEPR Gas Prices Real'!M297*(INDEX('GDP Deflator'!$D$6:$D$91,MATCH('IEPR Gas Prices Nominal'!$B295,'GDP Deflator'!$B$6:$B$91,0)))</f>
        <v>2.893547833317311</v>
      </c>
      <c r="N295" s="91">
        <f>'IEPR Gas Prices Real'!N297*(INDEX('GDP Deflator'!$D$6:$D$91,MATCH('IEPR Gas Prices Nominal'!$B295,'GDP Deflator'!$B$6:$B$91,0)))</f>
        <v>12.296008795446529</v>
      </c>
      <c r="O295" s="19"/>
      <c r="P295" s="229">
        <f t="shared" si="27"/>
        <v>9.0412809046382705</v>
      </c>
      <c r="Q295" s="229">
        <f t="shared" si="31"/>
        <v>13.284387122859357</v>
      </c>
      <c r="R295" s="144"/>
    </row>
    <row r="296" spans="2:18">
      <c r="B296" s="142">
        <f t="shared" si="28"/>
        <v>2046</v>
      </c>
      <c r="C296" s="19">
        <f t="shared" si="29"/>
        <v>3</v>
      </c>
      <c r="D296" s="143">
        <v>53387</v>
      </c>
      <c r="E296" s="19" t="str">
        <f t="shared" si="30"/>
        <v>3-2046</v>
      </c>
      <c r="F296" s="91">
        <f>'IEPR Gas Prices Real'!F298*(INDEX('GDP Deflator'!$D$6:$D$91,MATCH('IEPR Gas Prices Nominal'!$B296,'GDP Deflator'!$B$6:$B$91,0)))</f>
        <v>7.9418357019384329</v>
      </c>
      <c r="G296" s="91">
        <f>'IEPR Gas Prices Real'!G298*(INDEX('GDP Deflator'!$D$6:$D$91,MATCH('IEPR Gas Prices Nominal'!$B296,'GDP Deflator'!$B$6:$B$91,0)))</f>
        <v>3.7086712128445294</v>
      </c>
      <c r="H296" s="91">
        <f>'IEPR Gas Prices Real'!H298*(INDEX('GDP Deflator'!$D$6:$D$91,MATCH('IEPR Gas Prices Nominal'!$B296,'GDP Deflator'!$B$6:$B$91,0)))</f>
        <v>11.650506914782962</v>
      </c>
      <c r="I296" s="91">
        <f>'IEPR Gas Prices Real'!I298*(INDEX('GDP Deflator'!$D$6:$D$91,MATCH('IEPR Gas Prices Nominal'!$B296,'GDP Deflator'!$B$6:$B$91,0)))</f>
        <v>8.3262448444012094</v>
      </c>
      <c r="J296" s="91">
        <f>'IEPR Gas Prices Real'!J298*(INDEX('GDP Deflator'!$D$6:$D$91,MATCH('IEPR Gas Prices Nominal'!$B296,'GDP Deflator'!$B$6:$B$91,0)))</f>
        <v>6.1270996085014193</v>
      </c>
      <c r="K296" s="91">
        <f>'IEPR Gas Prices Real'!K298*(INDEX('GDP Deflator'!$D$6:$D$91,MATCH('IEPR Gas Prices Nominal'!$B296,'GDP Deflator'!$B$6:$B$91,0)))</f>
        <v>14.453344452902629</v>
      </c>
      <c r="L296" s="91">
        <f>'IEPR Gas Prices Real'!L298*(INDEX('GDP Deflator'!$D$6:$D$91,MATCH('IEPR Gas Prices Nominal'!$B296,'GDP Deflator'!$B$6:$B$91,0)))</f>
        <v>8.6313408813798063</v>
      </c>
      <c r="M296" s="91">
        <f>'IEPR Gas Prices Real'!M298*(INDEX('GDP Deflator'!$D$6:$D$91,MATCH('IEPR Gas Prices Nominal'!$B296,'GDP Deflator'!$B$6:$B$91,0)))</f>
        <v>2.893547833317311</v>
      </c>
      <c r="N296" s="91">
        <f>'IEPR Gas Prices Real'!N298*(INDEX('GDP Deflator'!$D$6:$D$91,MATCH('IEPR Gas Prices Nominal'!$B296,'GDP Deflator'!$B$6:$B$91,0)))</f>
        <v>11.524888714697118</v>
      </c>
      <c r="O296" s="19"/>
      <c r="P296" s="229">
        <f t="shared" si="27"/>
        <v>8.2998071425731492</v>
      </c>
      <c r="Q296" s="229">
        <f t="shared" si="31"/>
        <v>12.542913360794238</v>
      </c>
      <c r="R296" s="144"/>
    </row>
    <row r="297" spans="2:18">
      <c r="B297" s="142">
        <f t="shared" si="28"/>
        <v>2046</v>
      </c>
      <c r="C297" s="19">
        <f t="shared" si="29"/>
        <v>4</v>
      </c>
      <c r="D297" s="143">
        <v>53418</v>
      </c>
      <c r="E297" s="19" t="str">
        <f t="shared" si="30"/>
        <v>4-2046</v>
      </c>
      <c r="F297" s="91">
        <f>'IEPR Gas Prices Real'!F299*(INDEX('GDP Deflator'!$D$6:$D$91,MATCH('IEPR Gas Prices Nominal'!$B297,'GDP Deflator'!$B$6:$B$91,0)))</f>
        <v>7.8066487212807765</v>
      </c>
      <c r="G297" s="91">
        <f>'IEPR Gas Prices Real'!G299*(INDEX('GDP Deflator'!$D$6:$D$91,MATCH('IEPR Gas Prices Nominal'!$B297,'GDP Deflator'!$B$6:$B$91,0)))</f>
        <v>3.7086712128445294</v>
      </c>
      <c r="H297" s="91">
        <f>'IEPR Gas Prices Real'!H299*(INDEX('GDP Deflator'!$D$6:$D$91,MATCH('IEPR Gas Prices Nominal'!$B297,'GDP Deflator'!$B$6:$B$91,0)))</f>
        <v>11.515319934125305</v>
      </c>
      <c r="I297" s="91">
        <f>'IEPR Gas Prices Real'!I299*(INDEX('GDP Deflator'!$D$6:$D$91,MATCH('IEPR Gas Prices Nominal'!$B297,'GDP Deflator'!$B$6:$B$91,0)))</f>
        <v>8.1844311777909748</v>
      </c>
      <c r="J297" s="91">
        <f>'IEPR Gas Prices Real'!J299*(INDEX('GDP Deflator'!$D$6:$D$91,MATCH('IEPR Gas Prices Nominal'!$B297,'GDP Deflator'!$B$6:$B$91,0)))</f>
        <v>6.1270996085014193</v>
      </c>
      <c r="K297" s="91">
        <f>'IEPR Gas Prices Real'!K299*(INDEX('GDP Deflator'!$D$6:$D$91,MATCH('IEPR Gas Prices Nominal'!$B297,'GDP Deflator'!$B$6:$B$91,0)))</f>
        <v>14.311530786292394</v>
      </c>
      <c r="L297" s="91">
        <f>'IEPR Gas Prices Real'!L299*(INDEX('GDP Deflator'!$D$6:$D$91,MATCH('IEPR Gas Prices Nominal'!$B297,'GDP Deflator'!$B$6:$B$91,0)))</f>
        <v>8.4843337610781582</v>
      </c>
      <c r="M297" s="91">
        <f>'IEPR Gas Prices Real'!M299*(INDEX('GDP Deflator'!$D$6:$D$91,MATCH('IEPR Gas Prices Nominal'!$B297,'GDP Deflator'!$B$6:$B$91,0)))</f>
        <v>2.893547833317311</v>
      </c>
      <c r="N297" s="91">
        <f>'IEPR Gas Prices Real'!N299*(INDEX('GDP Deflator'!$D$6:$D$91,MATCH('IEPR Gas Prices Nominal'!$B297,'GDP Deflator'!$B$6:$B$91,0)))</f>
        <v>11.377881594395468</v>
      </c>
      <c r="O297" s="19"/>
      <c r="P297" s="229">
        <f t="shared" si="27"/>
        <v>8.1584712200499698</v>
      </c>
      <c r="Q297" s="229">
        <f t="shared" si="31"/>
        <v>12.401577438271056</v>
      </c>
      <c r="R297" s="144"/>
    </row>
    <row r="298" spans="2:18">
      <c r="B298" s="142">
        <f t="shared" si="28"/>
        <v>2046</v>
      </c>
      <c r="C298" s="19">
        <f t="shared" si="29"/>
        <v>5</v>
      </c>
      <c r="D298" s="143">
        <v>53448</v>
      </c>
      <c r="E298" s="19" t="str">
        <f t="shared" si="30"/>
        <v>5-2046</v>
      </c>
      <c r="F298" s="91">
        <f>'IEPR Gas Prices Real'!F300*(INDEX('GDP Deflator'!$D$6:$D$91,MATCH('IEPR Gas Prices Nominal'!$B298,'GDP Deflator'!$B$6:$B$91,0)))</f>
        <v>8.078288217466115</v>
      </c>
      <c r="G298" s="91">
        <f>'IEPR Gas Prices Real'!G300*(INDEX('GDP Deflator'!$D$6:$D$91,MATCH('IEPR Gas Prices Nominal'!$B298,'GDP Deflator'!$B$6:$B$91,0)))</f>
        <v>3.7086712128445294</v>
      </c>
      <c r="H298" s="91">
        <f>'IEPR Gas Prices Real'!H300*(INDEX('GDP Deflator'!$D$6:$D$91,MATCH('IEPR Gas Prices Nominal'!$B298,'GDP Deflator'!$B$6:$B$91,0)))</f>
        <v>11.786959430310644</v>
      </c>
      <c r="I298" s="91">
        <f>'IEPR Gas Prices Real'!I300*(INDEX('GDP Deflator'!$D$6:$D$91,MATCH('IEPR Gas Prices Nominal'!$B298,'GDP Deflator'!$B$6:$B$91,0)))</f>
        <v>8.4691298340618655</v>
      </c>
      <c r="J298" s="91">
        <f>'IEPR Gas Prices Real'!J300*(INDEX('GDP Deflator'!$D$6:$D$91,MATCH('IEPR Gas Prices Nominal'!$B298,'GDP Deflator'!$B$6:$B$91,0)))</f>
        <v>6.1270996085014193</v>
      </c>
      <c r="K298" s="91">
        <f>'IEPR Gas Prices Real'!K300*(INDEX('GDP Deflator'!$D$6:$D$91,MATCH('IEPR Gas Prices Nominal'!$B298,'GDP Deflator'!$B$6:$B$91,0)))</f>
        <v>14.596229442563287</v>
      </c>
      <c r="L298" s="91">
        <f>'IEPR Gas Prices Real'!L300*(INDEX('GDP Deflator'!$D$6:$D$91,MATCH('IEPR Gas Prices Nominal'!$B298,'GDP Deflator'!$B$6:$B$91,0)))</f>
        <v>8.7794677316876104</v>
      </c>
      <c r="M298" s="91">
        <f>'IEPR Gas Prices Real'!M300*(INDEX('GDP Deflator'!$D$6:$D$91,MATCH('IEPR Gas Prices Nominal'!$B298,'GDP Deflator'!$B$6:$B$91,0)))</f>
        <v>2.893547833317311</v>
      </c>
      <c r="N298" s="91">
        <f>'IEPR Gas Prices Real'!N300*(INDEX('GDP Deflator'!$D$6:$D$91,MATCH('IEPR Gas Prices Nominal'!$B298,'GDP Deflator'!$B$6:$B$91,0)))</f>
        <v>11.673015565004922</v>
      </c>
      <c r="O298" s="19"/>
      <c r="P298" s="229">
        <f t="shared" si="27"/>
        <v>8.4422952610718642</v>
      </c>
      <c r="Q298" s="229">
        <f t="shared" si="31"/>
        <v>12.685401479292951</v>
      </c>
      <c r="R298" s="144"/>
    </row>
    <row r="299" spans="2:18">
      <c r="B299" s="142">
        <f t="shared" si="28"/>
        <v>2046</v>
      </c>
      <c r="C299" s="19">
        <f t="shared" si="29"/>
        <v>6</v>
      </c>
      <c r="D299" s="143">
        <v>53479</v>
      </c>
      <c r="E299" s="19" t="str">
        <f t="shared" si="30"/>
        <v>6-2046</v>
      </c>
      <c r="F299" s="91">
        <f>'IEPR Gas Prices Real'!F301*(INDEX('GDP Deflator'!$D$6:$D$91,MATCH('IEPR Gas Prices Nominal'!$B299,'GDP Deflator'!$B$6:$B$91,0)))</f>
        <v>8.2870734004751689</v>
      </c>
      <c r="G299" s="91">
        <f>'IEPR Gas Prices Real'!G301*(INDEX('GDP Deflator'!$D$6:$D$91,MATCH('IEPR Gas Prices Nominal'!$B299,'GDP Deflator'!$B$6:$B$91,0)))</f>
        <v>3.7086712128445294</v>
      </c>
      <c r="H299" s="91">
        <f>'IEPR Gas Prices Real'!H301*(INDEX('GDP Deflator'!$D$6:$D$91,MATCH('IEPR Gas Prices Nominal'!$B299,'GDP Deflator'!$B$6:$B$91,0)))</f>
        <v>11.995744613319697</v>
      </c>
      <c r="I299" s="91">
        <f>'IEPR Gas Prices Real'!I301*(INDEX('GDP Deflator'!$D$6:$D$91,MATCH('IEPR Gas Prices Nominal'!$B299,'GDP Deflator'!$B$6:$B$91,0)))</f>
        <v>8.6879280457017405</v>
      </c>
      <c r="J299" s="91">
        <f>'IEPR Gas Prices Real'!J301*(INDEX('GDP Deflator'!$D$6:$D$91,MATCH('IEPR Gas Prices Nominal'!$B299,'GDP Deflator'!$B$6:$B$91,0)))</f>
        <v>6.1270996085014193</v>
      </c>
      <c r="K299" s="91">
        <f>'IEPR Gas Prices Real'!K301*(INDEX('GDP Deflator'!$D$6:$D$91,MATCH('IEPR Gas Prices Nominal'!$B299,'GDP Deflator'!$B$6:$B$91,0)))</f>
        <v>14.815027654203162</v>
      </c>
      <c r="L299" s="91">
        <f>'IEPR Gas Prices Real'!L301*(INDEX('GDP Deflator'!$D$6:$D$91,MATCH('IEPR Gas Prices Nominal'!$B299,'GDP Deflator'!$B$6:$B$91,0)))</f>
        <v>9.0062866236508476</v>
      </c>
      <c r="M299" s="91">
        <f>'IEPR Gas Prices Real'!M301*(INDEX('GDP Deflator'!$D$6:$D$91,MATCH('IEPR Gas Prices Nominal'!$B299,'GDP Deflator'!$B$6:$B$91,0)))</f>
        <v>2.893547833317311</v>
      </c>
      <c r="N299" s="91">
        <f>'IEPR Gas Prices Real'!N301*(INDEX('GDP Deflator'!$D$6:$D$91,MATCH('IEPR Gas Prices Nominal'!$B299,'GDP Deflator'!$B$6:$B$91,0)))</f>
        <v>11.899834456968158</v>
      </c>
      <c r="O299" s="19"/>
      <c r="P299" s="229">
        <f t="shared" si="27"/>
        <v>8.6604293566092529</v>
      </c>
      <c r="Q299" s="229">
        <f t="shared" si="31"/>
        <v>12.903535574830338</v>
      </c>
      <c r="R299" s="144"/>
    </row>
    <row r="300" spans="2:18">
      <c r="B300" s="142">
        <f t="shared" si="28"/>
        <v>2046</v>
      </c>
      <c r="C300" s="19">
        <f t="shared" si="29"/>
        <v>7</v>
      </c>
      <c r="D300" s="143">
        <v>53509</v>
      </c>
      <c r="E300" s="19" t="str">
        <f t="shared" si="30"/>
        <v>7-2046</v>
      </c>
      <c r="F300" s="91">
        <f>'IEPR Gas Prices Real'!F302*(INDEX('GDP Deflator'!$D$6:$D$91,MATCH('IEPR Gas Prices Nominal'!$B300,'GDP Deflator'!$B$6:$B$91,0)))</f>
        <v>8.3527631123185131</v>
      </c>
      <c r="G300" s="91">
        <f>'IEPR Gas Prices Real'!G302*(INDEX('GDP Deflator'!$D$6:$D$91,MATCH('IEPR Gas Prices Nominal'!$B300,'GDP Deflator'!$B$6:$B$91,0)))</f>
        <v>3.7086712128445294</v>
      </c>
      <c r="H300" s="91">
        <f>'IEPR Gas Prices Real'!H302*(INDEX('GDP Deflator'!$D$6:$D$91,MATCH('IEPR Gas Prices Nominal'!$B300,'GDP Deflator'!$B$6:$B$91,0)))</f>
        <v>12.061434325163042</v>
      </c>
      <c r="I300" s="91">
        <f>'IEPR Gas Prices Real'!I302*(INDEX('GDP Deflator'!$D$6:$D$91,MATCH('IEPR Gas Prices Nominal'!$B300,'GDP Deflator'!$B$6:$B$91,0)))</f>
        <v>8.7567061692543309</v>
      </c>
      <c r="J300" s="91">
        <f>'IEPR Gas Prices Real'!J302*(INDEX('GDP Deflator'!$D$6:$D$91,MATCH('IEPR Gas Prices Nominal'!$B300,'GDP Deflator'!$B$6:$B$91,0)))</f>
        <v>6.1270996085014193</v>
      </c>
      <c r="K300" s="91">
        <f>'IEPR Gas Prices Real'!K302*(INDEX('GDP Deflator'!$D$6:$D$91,MATCH('IEPR Gas Prices Nominal'!$B300,'GDP Deflator'!$B$6:$B$91,0)))</f>
        <v>14.883805777755752</v>
      </c>
      <c r="L300" s="91">
        <f>'IEPR Gas Prices Real'!L302*(INDEX('GDP Deflator'!$D$6:$D$91,MATCH('IEPR Gas Prices Nominal'!$B300,'GDP Deflator'!$B$6:$B$91,0)))</f>
        <v>9.0775882286332283</v>
      </c>
      <c r="M300" s="91">
        <f>'IEPR Gas Prices Real'!M302*(INDEX('GDP Deflator'!$D$6:$D$91,MATCH('IEPR Gas Prices Nominal'!$B300,'GDP Deflator'!$B$6:$B$91,0)))</f>
        <v>2.893547833317311</v>
      </c>
      <c r="N300" s="91">
        <f>'IEPR Gas Prices Real'!N302*(INDEX('GDP Deflator'!$D$6:$D$91,MATCH('IEPR Gas Prices Nominal'!$B300,'GDP Deflator'!$B$6:$B$91,0)))</f>
        <v>11.97113606195054</v>
      </c>
      <c r="O300" s="19"/>
      <c r="P300" s="229">
        <f t="shared" si="27"/>
        <v>8.7290191700686908</v>
      </c>
      <c r="Q300" s="229">
        <f t="shared" si="31"/>
        <v>12.972125388289777</v>
      </c>
      <c r="R300" s="144"/>
    </row>
    <row r="301" spans="2:18">
      <c r="B301" s="142">
        <f t="shared" si="28"/>
        <v>2046</v>
      </c>
      <c r="C301" s="19">
        <f t="shared" si="29"/>
        <v>8</v>
      </c>
      <c r="D301" s="143">
        <v>53540</v>
      </c>
      <c r="E301" s="19" t="str">
        <f t="shared" si="30"/>
        <v>8-2046</v>
      </c>
      <c r="F301" s="91">
        <f>'IEPR Gas Prices Real'!F303*(INDEX('GDP Deflator'!$D$6:$D$91,MATCH('IEPR Gas Prices Nominal'!$B301,'GDP Deflator'!$B$6:$B$91,0)))</f>
        <v>8.2881909250762398</v>
      </c>
      <c r="G301" s="91">
        <f>'IEPR Gas Prices Real'!G303*(INDEX('GDP Deflator'!$D$6:$D$91,MATCH('IEPR Gas Prices Nominal'!$B301,'GDP Deflator'!$B$6:$B$91,0)))</f>
        <v>3.7086712128445294</v>
      </c>
      <c r="H301" s="91">
        <f>'IEPR Gas Prices Real'!H303*(INDEX('GDP Deflator'!$D$6:$D$91,MATCH('IEPR Gas Prices Nominal'!$B301,'GDP Deflator'!$B$6:$B$91,0)))</f>
        <v>11.99686213792077</v>
      </c>
      <c r="I301" s="91">
        <f>'IEPR Gas Prices Real'!I303*(INDEX('GDP Deflator'!$D$6:$D$91,MATCH('IEPR Gas Prices Nominal'!$B301,'GDP Deflator'!$B$6:$B$91,0)))</f>
        <v>8.6889228542742778</v>
      </c>
      <c r="J301" s="91">
        <f>'IEPR Gas Prices Real'!J303*(INDEX('GDP Deflator'!$D$6:$D$91,MATCH('IEPR Gas Prices Nominal'!$B301,'GDP Deflator'!$B$6:$B$91,0)))</f>
        <v>6.1270996085014193</v>
      </c>
      <c r="K301" s="91">
        <f>'IEPR Gas Prices Real'!K303*(INDEX('GDP Deflator'!$D$6:$D$91,MATCH('IEPR Gas Prices Nominal'!$B301,'GDP Deflator'!$B$6:$B$91,0)))</f>
        <v>14.816022462775697</v>
      </c>
      <c r="L301" s="91">
        <f>'IEPR Gas Prices Real'!L303*(INDEX('GDP Deflator'!$D$6:$D$91,MATCH('IEPR Gas Prices Nominal'!$B301,'GDP Deflator'!$B$6:$B$91,0)))</f>
        <v>9.0073242179004165</v>
      </c>
      <c r="M301" s="91">
        <f>'IEPR Gas Prices Real'!M303*(INDEX('GDP Deflator'!$D$6:$D$91,MATCH('IEPR Gas Prices Nominal'!$B301,'GDP Deflator'!$B$6:$B$91,0)))</f>
        <v>2.893547833317311</v>
      </c>
      <c r="N301" s="91">
        <f>'IEPR Gas Prices Real'!N303*(INDEX('GDP Deflator'!$D$6:$D$91,MATCH('IEPR Gas Prices Nominal'!$B301,'GDP Deflator'!$B$6:$B$91,0)))</f>
        <v>11.900872051217727</v>
      </c>
      <c r="O301" s="19"/>
      <c r="P301" s="229">
        <f t="shared" si="27"/>
        <v>8.6614793324169792</v>
      </c>
      <c r="Q301" s="229">
        <f t="shared" si="31"/>
        <v>12.904585550638066</v>
      </c>
      <c r="R301" s="144"/>
    </row>
    <row r="302" spans="2:18">
      <c r="B302" s="142">
        <f t="shared" si="28"/>
        <v>2046</v>
      </c>
      <c r="C302" s="19">
        <f t="shared" si="29"/>
        <v>9</v>
      </c>
      <c r="D302" s="143">
        <v>53571</v>
      </c>
      <c r="E302" s="19" t="str">
        <f t="shared" si="30"/>
        <v>9-2046</v>
      </c>
      <c r="F302" s="91">
        <f>'IEPR Gas Prices Real'!F304*(INDEX('GDP Deflator'!$D$6:$D$91,MATCH('IEPR Gas Prices Nominal'!$B302,'GDP Deflator'!$B$6:$B$91,0)))</f>
        <v>8.4047161496682534</v>
      </c>
      <c r="G302" s="91">
        <f>'IEPR Gas Prices Real'!G304*(INDEX('GDP Deflator'!$D$6:$D$91,MATCH('IEPR Gas Prices Nominal'!$B302,'GDP Deflator'!$B$6:$B$91,0)))</f>
        <v>3.7086712128445294</v>
      </c>
      <c r="H302" s="91">
        <f>'IEPR Gas Prices Real'!H304*(INDEX('GDP Deflator'!$D$6:$D$91,MATCH('IEPR Gas Prices Nominal'!$B302,'GDP Deflator'!$B$6:$B$91,0)))</f>
        <v>12.113387362512782</v>
      </c>
      <c r="I302" s="91">
        <f>'IEPR Gas Prices Real'!I304*(INDEX('GDP Deflator'!$D$6:$D$91,MATCH('IEPR Gas Prices Nominal'!$B302,'GDP Deflator'!$B$6:$B$91,0)))</f>
        <v>8.8109924023261179</v>
      </c>
      <c r="J302" s="91">
        <f>'IEPR Gas Prices Real'!J304*(INDEX('GDP Deflator'!$D$6:$D$91,MATCH('IEPR Gas Prices Nominal'!$B302,'GDP Deflator'!$B$6:$B$91,0)))</f>
        <v>6.1270996085014193</v>
      </c>
      <c r="K302" s="91">
        <f>'IEPR Gas Prices Real'!K304*(INDEX('GDP Deflator'!$D$6:$D$91,MATCH('IEPR Gas Prices Nominal'!$B302,'GDP Deflator'!$B$6:$B$91,0)))</f>
        <v>14.938092010827537</v>
      </c>
      <c r="L302" s="91">
        <f>'IEPR Gas Prices Real'!L304*(INDEX('GDP Deflator'!$D$6:$D$91,MATCH('IEPR Gas Prices Nominal'!$B302,'GDP Deflator'!$B$6:$B$91,0)))</f>
        <v>9.1338701564394693</v>
      </c>
      <c r="M302" s="91">
        <f>'IEPR Gas Prices Real'!M304*(INDEX('GDP Deflator'!$D$6:$D$91,MATCH('IEPR Gas Prices Nominal'!$B302,'GDP Deflator'!$B$6:$B$91,0)))</f>
        <v>2.893547833317311</v>
      </c>
      <c r="N302" s="91">
        <f>'IEPR Gas Prices Real'!N304*(INDEX('GDP Deflator'!$D$6:$D$91,MATCH('IEPR Gas Prices Nominal'!$B302,'GDP Deflator'!$B$6:$B$91,0)))</f>
        <v>12.027417989756779</v>
      </c>
      <c r="O302" s="19"/>
      <c r="P302" s="229">
        <f t="shared" si="27"/>
        <v>8.7831929028112796</v>
      </c>
      <c r="Q302" s="229">
        <f t="shared" si="31"/>
        <v>13.026299121032366</v>
      </c>
      <c r="R302" s="144"/>
    </row>
    <row r="303" spans="2:18">
      <c r="B303" s="142">
        <f t="shared" si="28"/>
        <v>2046</v>
      </c>
      <c r="C303" s="19">
        <f t="shared" si="29"/>
        <v>10</v>
      </c>
      <c r="D303" s="143">
        <v>53601</v>
      </c>
      <c r="E303" s="19" t="str">
        <f t="shared" si="30"/>
        <v>10-2046</v>
      </c>
      <c r="F303" s="91">
        <f>'IEPR Gas Prices Real'!F305*(INDEX('GDP Deflator'!$D$6:$D$91,MATCH('IEPR Gas Prices Nominal'!$B303,'GDP Deflator'!$B$6:$B$91,0)))</f>
        <v>8.356228810278358</v>
      </c>
      <c r="G303" s="91">
        <f>'IEPR Gas Prices Real'!G305*(INDEX('GDP Deflator'!$D$6:$D$91,MATCH('IEPR Gas Prices Nominal'!$B303,'GDP Deflator'!$B$6:$B$91,0)))</f>
        <v>3.7086712128445294</v>
      </c>
      <c r="H303" s="91">
        <f>'IEPR Gas Prices Real'!H305*(INDEX('GDP Deflator'!$D$6:$D$91,MATCH('IEPR Gas Prices Nominal'!$B303,'GDP Deflator'!$B$6:$B$91,0)))</f>
        <v>12.064900023122886</v>
      </c>
      <c r="I303" s="91">
        <f>'IEPR Gas Prices Real'!I305*(INDEX('GDP Deflator'!$D$6:$D$91,MATCH('IEPR Gas Prices Nominal'!$B303,'GDP Deflator'!$B$6:$B$91,0)))</f>
        <v>8.7600720964456045</v>
      </c>
      <c r="J303" s="91">
        <f>'IEPR Gas Prices Real'!J305*(INDEX('GDP Deflator'!$D$6:$D$91,MATCH('IEPR Gas Prices Nominal'!$B303,'GDP Deflator'!$B$6:$B$91,0)))</f>
        <v>6.1270996085014193</v>
      </c>
      <c r="K303" s="91">
        <f>'IEPR Gas Prices Real'!K305*(INDEX('GDP Deflator'!$D$6:$D$91,MATCH('IEPR Gas Prices Nominal'!$B303,'GDP Deflator'!$B$6:$B$91,0)))</f>
        <v>14.887171704947024</v>
      </c>
      <c r="L303" s="91">
        <f>'IEPR Gas Prices Real'!L305*(INDEX('GDP Deflator'!$D$6:$D$91,MATCH('IEPR Gas Prices Nominal'!$B303,'GDP Deflator'!$B$6:$B$91,0)))</f>
        <v>9.081087075012622</v>
      </c>
      <c r="M303" s="91">
        <f>'IEPR Gas Prices Real'!M305*(INDEX('GDP Deflator'!$D$6:$D$91,MATCH('IEPR Gas Prices Nominal'!$B303,'GDP Deflator'!$B$6:$B$91,0)))</f>
        <v>2.893547833317311</v>
      </c>
      <c r="N303" s="91">
        <f>'IEPR Gas Prices Real'!N305*(INDEX('GDP Deflator'!$D$6:$D$91,MATCH('IEPR Gas Prices Nominal'!$B303,'GDP Deflator'!$B$6:$B$91,0)))</f>
        <v>11.974634908329934</v>
      </c>
      <c r="O303" s="19"/>
      <c r="P303" s="229">
        <f t="shared" si="27"/>
        <v>8.7324626605788627</v>
      </c>
      <c r="Q303" s="229">
        <f t="shared" si="31"/>
        <v>12.975568878799947</v>
      </c>
      <c r="R303" s="144"/>
    </row>
    <row r="304" spans="2:18">
      <c r="B304" s="142">
        <f t="shared" si="28"/>
        <v>2046</v>
      </c>
      <c r="C304" s="19">
        <f t="shared" si="29"/>
        <v>11</v>
      </c>
      <c r="D304" s="143">
        <v>53632</v>
      </c>
      <c r="E304" s="19" t="str">
        <f t="shared" si="30"/>
        <v>11-2046</v>
      </c>
      <c r="F304" s="91">
        <f>'IEPR Gas Prices Real'!F306*(INDEX('GDP Deflator'!$D$6:$D$91,MATCH('IEPR Gas Prices Nominal'!$B304,'GDP Deflator'!$B$6:$B$91,0)))</f>
        <v>8.7691929891914171</v>
      </c>
      <c r="G304" s="91">
        <f>'IEPR Gas Prices Real'!G306*(INDEX('GDP Deflator'!$D$6:$D$91,MATCH('IEPR Gas Prices Nominal'!$B304,'GDP Deflator'!$B$6:$B$91,0)))</f>
        <v>3.7086712128445294</v>
      </c>
      <c r="H304" s="91">
        <f>'IEPR Gas Prices Real'!H306*(INDEX('GDP Deflator'!$D$6:$D$91,MATCH('IEPR Gas Prices Nominal'!$B304,'GDP Deflator'!$B$6:$B$91,0)))</f>
        <v>12.477864202035946</v>
      </c>
      <c r="I304" s="91">
        <f>'IEPR Gas Prices Real'!I306*(INDEX('GDP Deflator'!$D$6:$D$91,MATCH('IEPR Gas Prices Nominal'!$B304,'GDP Deflator'!$B$6:$B$91,0)))</f>
        <v>9.1929006321192972</v>
      </c>
      <c r="J304" s="91">
        <f>'IEPR Gas Prices Real'!J306*(INDEX('GDP Deflator'!$D$6:$D$91,MATCH('IEPR Gas Prices Nominal'!$B304,'GDP Deflator'!$B$6:$B$91,0)))</f>
        <v>6.1270996085014193</v>
      </c>
      <c r="K304" s="91">
        <f>'IEPR Gas Prices Real'!K306*(INDEX('GDP Deflator'!$D$6:$D$91,MATCH('IEPR Gas Prices Nominal'!$B304,'GDP Deflator'!$B$6:$B$91,0)))</f>
        <v>15.320000240620717</v>
      </c>
      <c r="L304" s="91">
        <f>'IEPR Gas Prices Real'!L306*(INDEX('GDP Deflator'!$D$6:$D$91,MATCH('IEPR Gas Prices Nominal'!$B304,'GDP Deflator'!$B$6:$B$91,0)))</f>
        <v>9.529780069018436</v>
      </c>
      <c r="M304" s="91">
        <f>'IEPR Gas Prices Real'!M306*(INDEX('GDP Deflator'!$D$6:$D$91,MATCH('IEPR Gas Prices Nominal'!$B304,'GDP Deflator'!$B$6:$B$91,0)))</f>
        <v>2.893547833317311</v>
      </c>
      <c r="N304" s="91">
        <f>'IEPR Gas Prices Real'!N306*(INDEX('GDP Deflator'!$D$6:$D$91,MATCH('IEPR Gas Prices Nominal'!$B304,'GDP Deflator'!$B$6:$B$91,0)))</f>
        <v>12.423327902335748</v>
      </c>
      <c r="O304" s="19"/>
      <c r="P304" s="229">
        <f t="shared" si="27"/>
        <v>9.1639578967763828</v>
      </c>
      <c r="Q304" s="229">
        <f t="shared" si="31"/>
        <v>13.407064114997469</v>
      </c>
      <c r="R304" s="144"/>
    </row>
    <row r="305" spans="2:18">
      <c r="B305" s="142">
        <f t="shared" si="28"/>
        <v>2046</v>
      </c>
      <c r="C305" s="19">
        <f t="shared" si="29"/>
        <v>12</v>
      </c>
      <c r="D305" s="143">
        <v>53662</v>
      </c>
      <c r="E305" s="19" t="str">
        <f t="shared" si="30"/>
        <v>12-2046</v>
      </c>
      <c r="F305" s="91">
        <f>'IEPR Gas Prices Real'!F307*(INDEX('GDP Deflator'!$D$6:$D$91,MATCH('IEPR Gas Prices Nominal'!$B305,'GDP Deflator'!$B$6:$B$91,0)))</f>
        <v>8.8396694589434883</v>
      </c>
      <c r="G305" s="91">
        <f>'IEPR Gas Prices Real'!G307*(INDEX('GDP Deflator'!$D$6:$D$91,MATCH('IEPR Gas Prices Nominal'!$B305,'GDP Deflator'!$B$6:$B$91,0)))</f>
        <v>3.7086712128445294</v>
      </c>
      <c r="H305" s="91">
        <f>'IEPR Gas Prices Real'!H307*(INDEX('GDP Deflator'!$D$6:$D$91,MATCH('IEPR Gas Prices Nominal'!$B305,'GDP Deflator'!$B$6:$B$91,0)))</f>
        <v>12.548340671788017</v>
      </c>
      <c r="I305" s="91">
        <f>'IEPR Gas Prices Real'!I307*(INDEX('GDP Deflator'!$D$6:$D$91,MATCH('IEPR Gas Prices Nominal'!$B305,'GDP Deflator'!$B$6:$B$91,0)))</f>
        <v>9.2666880580302688</v>
      </c>
      <c r="J305" s="91">
        <f>'IEPR Gas Prices Real'!J307*(INDEX('GDP Deflator'!$D$6:$D$91,MATCH('IEPR Gas Prices Nominal'!$B305,'GDP Deflator'!$B$6:$B$91,0)))</f>
        <v>6.1270996085014193</v>
      </c>
      <c r="K305" s="91">
        <f>'IEPR Gas Prices Real'!K307*(INDEX('GDP Deflator'!$D$6:$D$91,MATCH('IEPR Gas Prices Nominal'!$B305,'GDP Deflator'!$B$6:$B$91,0)))</f>
        <v>15.39378766653169</v>
      </c>
      <c r="L305" s="91">
        <f>'IEPR Gas Prices Real'!L307*(INDEX('GDP Deflator'!$D$6:$D$91,MATCH('IEPR Gas Prices Nominal'!$B305,'GDP Deflator'!$B$6:$B$91,0)))</f>
        <v>9.6062748584147499</v>
      </c>
      <c r="M305" s="91">
        <f>'IEPR Gas Prices Real'!M307*(INDEX('GDP Deflator'!$D$6:$D$91,MATCH('IEPR Gas Prices Nominal'!$B305,'GDP Deflator'!$B$6:$B$91,0)))</f>
        <v>2.893547833317311</v>
      </c>
      <c r="N305" s="91">
        <f>'IEPR Gas Prices Real'!N307*(INDEX('GDP Deflator'!$D$6:$D$91,MATCH('IEPR Gas Prices Nominal'!$B305,'GDP Deflator'!$B$6:$B$91,0)))</f>
        <v>12.499822691732062</v>
      </c>
      <c r="O305" s="19"/>
      <c r="P305" s="229">
        <f t="shared" si="27"/>
        <v>9.237544125129503</v>
      </c>
      <c r="Q305" s="229">
        <f t="shared" si="31"/>
        <v>13.48065034335059</v>
      </c>
      <c r="R305" s="144"/>
    </row>
    <row r="306" spans="2:18">
      <c r="B306" s="142">
        <f t="shared" si="28"/>
        <v>2047</v>
      </c>
      <c r="C306" s="19">
        <f t="shared" si="29"/>
        <v>1</v>
      </c>
      <c r="D306" s="143">
        <v>53693</v>
      </c>
      <c r="E306" s="19" t="str">
        <f t="shared" si="30"/>
        <v>1-2047</v>
      </c>
      <c r="F306" s="91">
        <f>'IEPR Gas Prices Real'!F308*(INDEX('GDP Deflator'!$D$6:$D$91,MATCH('IEPR Gas Prices Nominal'!$B306,'GDP Deflator'!$B$6:$B$91,0)))</f>
        <v>9.0412852317920187</v>
      </c>
      <c r="G306" s="91">
        <f>'IEPR Gas Prices Real'!G308*(INDEX('GDP Deflator'!$D$6:$D$91,MATCH('IEPR Gas Prices Nominal'!$B306,'GDP Deflator'!$B$6:$B$91,0)))</f>
        <v>3.9442574785617794</v>
      </c>
      <c r="H306" s="91">
        <f>'IEPR Gas Prices Real'!H308*(INDEX('GDP Deflator'!$D$6:$D$91,MATCH('IEPR Gas Prices Nominal'!$B306,'GDP Deflator'!$B$6:$B$91,0)))</f>
        <v>12.985542710353798</v>
      </c>
      <c r="I306" s="91">
        <f>'IEPR Gas Prices Real'!I308*(INDEX('GDP Deflator'!$D$6:$D$91,MATCH('IEPR Gas Prices Nominal'!$B306,'GDP Deflator'!$B$6:$B$91,0)))</f>
        <v>9.477952978099017</v>
      </c>
      <c r="J306" s="91">
        <f>'IEPR Gas Prices Real'!J308*(INDEX('GDP Deflator'!$D$6:$D$91,MATCH('IEPR Gas Prices Nominal'!$B306,'GDP Deflator'!$B$6:$B$91,0)))</f>
        <v>6.5171591112633553</v>
      </c>
      <c r="K306" s="91">
        <f>'IEPR Gas Prices Real'!K308*(INDEX('GDP Deflator'!$D$6:$D$91,MATCH('IEPR Gas Prices Nominal'!$B306,'GDP Deflator'!$B$6:$B$91,0)))</f>
        <v>15.995112089362372</v>
      </c>
      <c r="L306" s="91">
        <f>'IEPR Gas Prices Real'!L308*(INDEX('GDP Deflator'!$D$6:$D$91,MATCH('IEPR Gas Prices Nominal'!$B306,'GDP Deflator'!$B$6:$B$91,0)))</f>
        <v>9.8252859428027275</v>
      </c>
      <c r="M306" s="91">
        <f>'IEPR Gas Prices Real'!M308*(INDEX('GDP Deflator'!$D$6:$D$91,MATCH('IEPR Gas Prices Nominal'!$B306,'GDP Deflator'!$B$6:$B$91,0)))</f>
        <v>3.0777550277810013</v>
      </c>
      <c r="N306" s="91">
        <f>'IEPR Gas Prices Real'!N308*(INDEX('GDP Deflator'!$D$6:$D$91,MATCH('IEPR Gas Prices Nominal'!$B306,'GDP Deflator'!$B$6:$B$91,0)))</f>
        <v>12.903040970583728</v>
      </c>
      <c r="O306" s="19"/>
      <c r="P306" s="229">
        <f t="shared" si="27"/>
        <v>9.4481747175645889</v>
      </c>
      <c r="Q306" s="229">
        <f t="shared" si="31"/>
        <v>13.961231923433298</v>
      </c>
      <c r="R306" s="144"/>
    </row>
    <row r="307" spans="2:18">
      <c r="B307" s="142">
        <f t="shared" si="28"/>
        <v>2047</v>
      </c>
      <c r="C307" s="19">
        <f t="shared" si="29"/>
        <v>2</v>
      </c>
      <c r="D307" s="143">
        <v>53724</v>
      </c>
      <c r="E307" s="19" t="str">
        <f t="shared" si="30"/>
        <v>2-2047</v>
      </c>
      <c r="F307" s="91">
        <f>'IEPR Gas Prices Real'!F309*(INDEX('GDP Deflator'!$D$6:$D$91,MATCH('IEPR Gas Prices Nominal'!$B307,'GDP Deflator'!$B$6:$B$91,0)))</f>
        <v>8.8430288520353511</v>
      </c>
      <c r="G307" s="91">
        <f>'IEPR Gas Prices Real'!G309*(INDEX('GDP Deflator'!$D$6:$D$91,MATCH('IEPR Gas Prices Nominal'!$B307,'GDP Deflator'!$B$6:$B$91,0)))</f>
        <v>3.9442574785617794</v>
      </c>
      <c r="H307" s="91">
        <f>'IEPR Gas Prices Real'!H309*(INDEX('GDP Deflator'!$D$6:$D$91,MATCH('IEPR Gas Prices Nominal'!$B307,'GDP Deflator'!$B$6:$B$91,0)))</f>
        <v>12.78728633059713</v>
      </c>
      <c r="I307" s="91">
        <f>'IEPR Gas Prices Real'!I309*(INDEX('GDP Deflator'!$D$6:$D$91,MATCH('IEPR Gas Prices Nominal'!$B307,'GDP Deflator'!$B$6:$B$91,0)))</f>
        <v>9.270033043678799</v>
      </c>
      <c r="J307" s="91">
        <f>'IEPR Gas Prices Real'!J309*(INDEX('GDP Deflator'!$D$6:$D$91,MATCH('IEPR Gas Prices Nominal'!$B307,'GDP Deflator'!$B$6:$B$91,0)))</f>
        <v>6.5171591112633553</v>
      </c>
      <c r="K307" s="91">
        <f>'IEPR Gas Prices Real'!K309*(INDEX('GDP Deflator'!$D$6:$D$91,MATCH('IEPR Gas Prices Nominal'!$B307,'GDP Deflator'!$B$6:$B$91,0)))</f>
        <v>15.787192154942153</v>
      </c>
      <c r="L307" s="91">
        <f>'IEPR Gas Prices Real'!L309*(INDEX('GDP Deflator'!$D$6:$D$91,MATCH('IEPR Gas Prices Nominal'!$B307,'GDP Deflator'!$B$6:$B$91,0)))</f>
        <v>9.6097505539497856</v>
      </c>
      <c r="M307" s="91">
        <f>'IEPR Gas Prices Real'!M309*(INDEX('GDP Deflator'!$D$6:$D$91,MATCH('IEPR Gas Prices Nominal'!$B307,'GDP Deflator'!$B$6:$B$91,0)))</f>
        <v>3.0777550277810013</v>
      </c>
      <c r="N307" s="91">
        <f>'IEPR Gas Prices Real'!N309*(INDEX('GDP Deflator'!$D$6:$D$91,MATCH('IEPR Gas Prices Nominal'!$B307,'GDP Deflator'!$B$6:$B$91,0)))</f>
        <v>12.687505581730788</v>
      </c>
      <c r="O307" s="19"/>
      <c r="P307" s="229">
        <f t="shared" si="27"/>
        <v>9.2409374832213107</v>
      </c>
      <c r="Q307" s="229">
        <f t="shared" si="31"/>
        <v>13.753994689090023</v>
      </c>
      <c r="R307" s="144"/>
    </row>
    <row r="308" spans="2:18">
      <c r="B308" s="142">
        <f t="shared" si="28"/>
        <v>2047</v>
      </c>
      <c r="C308" s="19">
        <f t="shared" si="29"/>
        <v>3</v>
      </c>
      <c r="D308" s="143">
        <v>53752</v>
      </c>
      <c r="E308" s="19" t="str">
        <f t="shared" si="30"/>
        <v>3-2047</v>
      </c>
      <c r="F308" s="91">
        <f>'IEPR Gas Prices Real'!F310*(INDEX('GDP Deflator'!$D$6:$D$91,MATCH('IEPR Gas Prices Nominal'!$B308,'GDP Deflator'!$B$6:$B$91,0)))</f>
        <v>8.1178998256150603</v>
      </c>
      <c r="G308" s="91">
        <f>'IEPR Gas Prices Real'!G310*(INDEX('GDP Deflator'!$D$6:$D$91,MATCH('IEPR Gas Prices Nominal'!$B308,'GDP Deflator'!$B$6:$B$91,0)))</f>
        <v>3.9442574785617794</v>
      </c>
      <c r="H308" s="91">
        <f>'IEPR Gas Prices Real'!H310*(INDEX('GDP Deflator'!$D$6:$D$91,MATCH('IEPR Gas Prices Nominal'!$B308,'GDP Deflator'!$B$6:$B$91,0)))</f>
        <v>12.062157304176841</v>
      </c>
      <c r="I308" s="91">
        <f>'IEPR Gas Prices Real'!I310*(INDEX('GDP Deflator'!$D$6:$D$91,MATCH('IEPR Gas Prices Nominal'!$B308,'GDP Deflator'!$B$6:$B$91,0)))</f>
        <v>8.5098085301403259</v>
      </c>
      <c r="J308" s="91">
        <f>'IEPR Gas Prices Real'!J310*(INDEX('GDP Deflator'!$D$6:$D$91,MATCH('IEPR Gas Prices Nominal'!$B308,'GDP Deflator'!$B$6:$B$91,0)))</f>
        <v>6.5171591112633553</v>
      </c>
      <c r="K308" s="91">
        <f>'IEPR Gas Prices Real'!K310*(INDEX('GDP Deflator'!$D$6:$D$91,MATCH('IEPR Gas Prices Nominal'!$B308,'GDP Deflator'!$B$6:$B$91,0)))</f>
        <v>15.026967641403681</v>
      </c>
      <c r="L308" s="91">
        <f>'IEPR Gas Prices Real'!L310*(INDEX('GDP Deflator'!$D$6:$D$91,MATCH('IEPR Gas Prices Nominal'!$B308,'GDP Deflator'!$B$6:$B$91,0)))</f>
        <v>8.821669938783085</v>
      </c>
      <c r="M308" s="91">
        <f>'IEPR Gas Prices Real'!M310*(INDEX('GDP Deflator'!$D$6:$D$91,MATCH('IEPR Gas Prices Nominal'!$B308,'GDP Deflator'!$B$6:$B$91,0)))</f>
        <v>3.0777550277810013</v>
      </c>
      <c r="N308" s="91">
        <f>'IEPR Gas Prices Real'!N310*(INDEX('GDP Deflator'!$D$6:$D$91,MATCH('IEPR Gas Prices Nominal'!$B308,'GDP Deflator'!$B$6:$B$91,0)))</f>
        <v>11.899424966564087</v>
      </c>
      <c r="O308" s="19"/>
      <c r="P308" s="229">
        <f t="shared" si="27"/>
        <v>8.4831260981794916</v>
      </c>
      <c r="Q308" s="229">
        <f t="shared" si="31"/>
        <v>12.996183304048202</v>
      </c>
      <c r="R308" s="144"/>
    </row>
    <row r="309" spans="2:18">
      <c r="B309" s="142">
        <f t="shared" si="28"/>
        <v>2047</v>
      </c>
      <c r="C309" s="19">
        <f t="shared" si="29"/>
        <v>4</v>
      </c>
      <c r="D309" s="143">
        <v>53783</v>
      </c>
      <c r="E309" s="19" t="str">
        <f t="shared" si="30"/>
        <v>4-2047</v>
      </c>
      <c r="F309" s="91">
        <f>'IEPR Gas Prices Real'!F311*(INDEX('GDP Deflator'!$D$6:$D$91,MATCH('IEPR Gas Prices Nominal'!$B309,'GDP Deflator'!$B$6:$B$91,0)))</f>
        <v>7.9797462346134163</v>
      </c>
      <c r="G309" s="91">
        <f>'IEPR Gas Prices Real'!G311*(INDEX('GDP Deflator'!$D$6:$D$91,MATCH('IEPR Gas Prices Nominal'!$B309,'GDP Deflator'!$B$6:$B$91,0)))</f>
        <v>3.9442574785617794</v>
      </c>
      <c r="H309" s="91">
        <f>'IEPR Gas Prices Real'!H311*(INDEX('GDP Deflator'!$D$6:$D$91,MATCH('IEPR Gas Prices Nominal'!$B309,'GDP Deflator'!$B$6:$B$91,0)))</f>
        <v>11.924003713175196</v>
      </c>
      <c r="I309" s="91">
        <f>'IEPR Gas Prices Real'!I311*(INDEX('GDP Deflator'!$D$6:$D$91,MATCH('IEPR Gas Prices Nominal'!$B309,'GDP Deflator'!$B$6:$B$91,0)))</f>
        <v>8.3649055454519345</v>
      </c>
      <c r="J309" s="91">
        <f>'IEPR Gas Prices Real'!J311*(INDEX('GDP Deflator'!$D$6:$D$91,MATCH('IEPR Gas Prices Nominal'!$B309,'GDP Deflator'!$B$6:$B$91,0)))</f>
        <v>6.5171591112633553</v>
      </c>
      <c r="K309" s="91">
        <f>'IEPR Gas Prices Real'!K311*(INDEX('GDP Deflator'!$D$6:$D$91,MATCH('IEPR Gas Prices Nominal'!$B309,'GDP Deflator'!$B$6:$B$91,0)))</f>
        <v>14.882064656715292</v>
      </c>
      <c r="L309" s="91">
        <f>'IEPR Gas Prices Real'!L311*(INDEX('GDP Deflator'!$D$6:$D$91,MATCH('IEPR Gas Prices Nominal'!$B309,'GDP Deflator'!$B$6:$B$91,0)))</f>
        <v>8.671460321523762</v>
      </c>
      <c r="M309" s="91">
        <f>'IEPR Gas Prices Real'!M311*(INDEX('GDP Deflator'!$D$6:$D$91,MATCH('IEPR Gas Prices Nominal'!$B309,'GDP Deflator'!$B$6:$B$91,0)))</f>
        <v>3.0777550277810013</v>
      </c>
      <c r="N309" s="91">
        <f>'IEPR Gas Prices Real'!N311*(INDEX('GDP Deflator'!$D$6:$D$91,MATCH('IEPR Gas Prices Nominal'!$B309,'GDP Deflator'!$B$6:$B$91,0)))</f>
        <v>11.749215349304762</v>
      </c>
      <c r="O309" s="19"/>
      <c r="P309" s="229">
        <f t="shared" si="27"/>
        <v>8.3387040338630385</v>
      </c>
      <c r="Q309" s="229">
        <f t="shared" si="31"/>
        <v>12.851761239731751</v>
      </c>
      <c r="R309" s="144"/>
    </row>
    <row r="310" spans="2:18">
      <c r="B310" s="142">
        <f t="shared" si="28"/>
        <v>2047</v>
      </c>
      <c r="C310" s="19">
        <f t="shared" si="29"/>
        <v>5</v>
      </c>
      <c r="D310" s="143">
        <v>53813</v>
      </c>
      <c r="E310" s="19" t="str">
        <f t="shared" si="30"/>
        <v>5-2047</v>
      </c>
      <c r="F310" s="91">
        <f>'IEPR Gas Prices Real'!F312*(INDEX('GDP Deflator'!$D$6:$D$91,MATCH('IEPR Gas Prices Nominal'!$B310,'GDP Deflator'!$B$6:$B$91,0)))</f>
        <v>8.2574402539419687</v>
      </c>
      <c r="G310" s="91">
        <f>'IEPR Gas Prices Real'!G312*(INDEX('GDP Deflator'!$D$6:$D$91,MATCH('IEPR Gas Prices Nominal'!$B310,'GDP Deflator'!$B$6:$B$91,0)))</f>
        <v>3.9442574785617794</v>
      </c>
      <c r="H310" s="91">
        <f>'IEPR Gas Prices Real'!H312*(INDEX('GDP Deflator'!$D$6:$D$91,MATCH('IEPR Gas Prices Nominal'!$B310,'GDP Deflator'!$B$6:$B$91,0)))</f>
        <v>12.201697732503746</v>
      </c>
      <c r="I310" s="91">
        <f>'IEPR Gas Prices Real'!I312*(INDEX('GDP Deflator'!$D$6:$D$91,MATCH('IEPR Gas Prices Nominal'!$B310,'GDP Deflator'!$B$6:$B$91,0)))</f>
        <v>8.6559205328420727</v>
      </c>
      <c r="J310" s="91">
        <f>'IEPR Gas Prices Real'!J312*(INDEX('GDP Deflator'!$D$6:$D$91,MATCH('IEPR Gas Prices Nominal'!$B310,'GDP Deflator'!$B$6:$B$91,0)))</f>
        <v>6.5171591112633553</v>
      </c>
      <c r="K310" s="91">
        <f>'IEPR Gas Prices Real'!K312*(INDEX('GDP Deflator'!$D$6:$D$91,MATCH('IEPR Gas Prices Nominal'!$B310,'GDP Deflator'!$B$6:$B$91,0)))</f>
        <v>15.173079644105428</v>
      </c>
      <c r="L310" s="91">
        <f>'IEPR Gas Prices Real'!L312*(INDEX('GDP Deflator'!$D$6:$D$91,MATCH('IEPR Gas Prices Nominal'!$B310,'GDP Deflator'!$B$6:$B$91,0)))</f>
        <v>8.9731441437407415</v>
      </c>
      <c r="M310" s="91">
        <f>'IEPR Gas Prices Real'!M312*(INDEX('GDP Deflator'!$D$6:$D$91,MATCH('IEPR Gas Prices Nominal'!$B310,'GDP Deflator'!$B$6:$B$91,0)))</f>
        <v>3.0777550277810013</v>
      </c>
      <c r="N310" s="91">
        <f>'IEPR Gas Prices Real'!N312*(INDEX('GDP Deflator'!$D$6:$D$91,MATCH('IEPR Gas Prices Nominal'!$B310,'GDP Deflator'!$B$6:$B$91,0)))</f>
        <v>12.050899171521742</v>
      </c>
      <c r="O310" s="19"/>
      <c r="P310" s="229">
        <f t="shared" si="27"/>
        <v>8.6288349768415937</v>
      </c>
      <c r="Q310" s="229">
        <f t="shared" si="31"/>
        <v>13.141892182710306</v>
      </c>
      <c r="R310" s="144"/>
    </row>
    <row r="311" spans="2:18">
      <c r="B311" s="142">
        <f t="shared" si="28"/>
        <v>2047</v>
      </c>
      <c r="C311" s="19">
        <f t="shared" si="29"/>
        <v>6</v>
      </c>
      <c r="D311" s="143">
        <v>53844</v>
      </c>
      <c r="E311" s="19" t="str">
        <f t="shared" si="30"/>
        <v>6-2047</v>
      </c>
      <c r="F311" s="91">
        <f>'IEPR Gas Prices Real'!F313*(INDEX('GDP Deflator'!$D$6:$D$91,MATCH('IEPR Gas Prices Nominal'!$B311,'GDP Deflator'!$B$6:$B$91,0)))</f>
        <v>8.4708879139332307</v>
      </c>
      <c r="G311" s="91">
        <f>'IEPR Gas Prices Real'!G313*(INDEX('GDP Deflator'!$D$6:$D$91,MATCH('IEPR Gas Prices Nominal'!$B311,'GDP Deflator'!$B$6:$B$91,0)))</f>
        <v>3.9442574785617794</v>
      </c>
      <c r="H311" s="91">
        <f>'IEPR Gas Prices Real'!H313*(INDEX('GDP Deflator'!$D$6:$D$91,MATCH('IEPR Gas Prices Nominal'!$B311,'GDP Deflator'!$B$6:$B$91,0)))</f>
        <v>12.415145392495008</v>
      </c>
      <c r="I311" s="91">
        <f>'IEPR Gas Prices Real'!I313*(INDEX('GDP Deflator'!$D$6:$D$91,MATCH('IEPR Gas Prices Nominal'!$B311,'GDP Deflator'!$B$6:$B$91,0)))</f>
        <v>8.8795839009143283</v>
      </c>
      <c r="J311" s="91">
        <f>'IEPR Gas Prices Real'!J313*(INDEX('GDP Deflator'!$D$6:$D$91,MATCH('IEPR Gas Prices Nominal'!$B311,'GDP Deflator'!$B$6:$B$91,0)))</f>
        <v>6.5171591112633553</v>
      </c>
      <c r="K311" s="91">
        <f>'IEPR Gas Prices Real'!K313*(INDEX('GDP Deflator'!$D$6:$D$91,MATCH('IEPR Gas Prices Nominal'!$B311,'GDP Deflator'!$B$6:$B$91,0)))</f>
        <v>15.396743012177684</v>
      </c>
      <c r="L311" s="91">
        <f>'IEPR Gas Prices Real'!L313*(INDEX('GDP Deflator'!$D$6:$D$91,MATCH('IEPR Gas Prices Nominal'!$B311,'GDP Deflator'!$B$6:$B$91,0)))</f>
        <v>9.2050082595161307</v>
      </c>
      <c r="M311" s="91">
        <f>'IEPR Gas Prices Real'!M313*(INDEX('GDP Deflator'!$D$6:$D$91,MATCH('IEPR Gas Prices Nominal'!$B311,'GDP Deflator'!$B$6:$B$91,0)))</f>
        <v>3.0777550277810013</v>
      </c>
      <c r="N311" s="91">
        <f>'IEPR Gas Prices Real'!N313*(INDEX('GDP Deflator'!$D$6:$D$91,MATCH('IEPR Gas Prices Nominal'!$B311,'GDP Deflator'!$B$6:$B$91,0)))</f>
        <v>12.282763287297131</v>
      </c>
      <c r="O311" s="19"/>
      <c r="P311" s="229">
        <f t="shared" si="27"/>
        <v>8.8518266914545638</v>
      </c>
      <c r="Q311" s="229">
        <f t="shared" si="31"/>
        <v>13.364883897323274</v>
      </c>
      <c r="R311" s="144"/>
    </row>
    <row r="312" spans="2:18">
      <c r="B312" s="142">
        <f t="shared" si="28"/>
        <v>2047</v>
      </c>
      <c r="C312" s="19">
        <f t="shared" si="29"/>
        <v>7</v>
      </c>
      <c r="D312" s="143">
        <v>53874</v>
      </c>
      <c r="E312" s="19" t="str">
        <f t="shared" si="30"/>
        <v>7-2047</v>
      </c>
      <c r="F312" s="91">
        <f>'IEPR Gas Prices Real'!F314*(INDEX('GDP Deflator'!$D$6:$D$91,MATCH('IEPR Gas Prices Nominal'!$B312,'GDP Deflator'!$B$6:$B$91,0)))</f>
        <v>8.5380671918095619</v>
      </c>
      <c r="G312" s="91">
        <f>'IEPR Gas Prices Real'!G314*(INDEX('GDP Deflator'!$D$6:$D$91,MATCH('IEPR Gas Prices Nominal'!$B312,'GDP Deflator'!$B$6:$B$91,0)))</f>
        <v>3.9442574785617794</v>
      </c>
      <c r="H312" s="91">
        <f>'IEPR Gas Prices Real'!H314*(INDEX('GDP Deflator'!$D$6:$D$91,MATCH('IEPR Gas Prices Nominal'!$B312,'GDP Deflator'!$B$6:$B$91,0)))</f>
        <v>12.482324670371341</v>
      </c>
      <c r="I312" s="91">
        <f>'IEPR Gas Prices Real'!I314*(INDEX('GDP Deflator'!$D$6:$D$91,MATCH('IEPR Gas Prices Nominal'!$B312,'GDP Deflator'!$B$6:$B$91,0)))</f>
        <v>8.9499190456782411</v>
      </c>
      <c r="J312" s="91">
        <f>'IEPR Gas Prices Real'!J314*(INDEX('GDP Deflator'!$D$6:$D$91,MATCH('IEPR Gas Prices Nominal'!$B312,'GDP Deflator'!$B$6:$B$91,0)))</f>
        <v>6.5171591112633553</v>
      </c>
      <c r="K312" s="91">
        <f>'IEPR Gas Prices Real'!K314*(INDEX('GDP Deflator'!$D$6:$D$91,MATCH('IEPR Gas Prices Nominal'!$B312,'GDP Deflator'!$B$6:$B$91,0)))</f>
        <v>15.467078156941596</v>
      </c>
      <c r="L312" s="91">
        <f>'IEPR Gas Prices Real'!L314*(INDEX('GDP Deflator'!$D$6:$D$91,MATCH('IEPR Gas Prices Nominal'!$B312,'GDP Deflator'!$B$6:$B$91,0)))</f>
        <v>9.2779250159700837</v>
      </c>
      <c r="M312" s="91">
        <f>'IEPR Gas Prices Real'!M314*(INDEX('GDP Deflator'!$D$6:$D$91,MATCH('IEPR Gas Prices Nominal'!$B312,'GDP Deflator'!$B$6:$B$91,0)))</f>
        <v>3.0777550277810013</v>
      </c>
      <c r="N312" s="91">
        <f>'IEPR Gas Prices Real'!N314*(INDEX('GDP Deflator'!$D$6:$D$91,MATCH('IEPR Gas Prices Nominal'!$B312,'GDP Deflator'!$B$6:$B$91,0)))</f>
        <v>12.355680043751086</v>
      </c>
      <c r="O312" s="19"/>
      <c r="P312" s="229">
        <f t="shared" si="27"/>
        <v>8.9219704178192956</v>
      </c>
      <c r="Q312" s="229">
        <f t="shared" si="31"/>
        <v>13.435027623688008</v>
      </c>
      <c r="R312" s="144"/>
    </row>
    <row r="313" spans="2:18">
      <c r="B313" s="142">
        <f t="shared" si="28"/>
        <v>2047</v>
      </c>
      <c r="C313" s="19">
        <f t="shared" si="29"/>
        <v>8</v>
      </c>
      <c r="D313" s="143">
        <v>53905</v>
      </c>
      <c r="E313" s="19" t="str">
        <f t="shared" si="30"/>
        <v>8-2047</v>
      </c>
      <c r="F313" s="91">
        <f>'IEPR Gas Prices Real'!F315*(INDEX('GDP Deflator'!$D$6:$D$91,MATCH('IEPR Gas Prices Nominal'!$B313,'GDP Deflator'!$B$6:$B$91,0)))</f>
        <v>8.4720947485661675</v>
      </c>
      <c r="G313" s="91">
        <f>'IEPR Gas Prices Real'!G315*(INDEX('GDP Deflator'!$D$6:$D$91,MATCH('IEPR Gas Prices Nominal'!$B313,'GDP Deflator'!$B$6:$B$91,0)))</f>
        <v>3.9442574785617794</v>
      </c>
      <c r="H313" s="91">
        <f>'IEPR Gas Prices Real'!H315*(INDEX('GDP Deflator'!$D$6:$D$91,MATCH('IEPR Gas Prices Nominal'!$B313,'GDP Deflator'!$B$6:$B$91,0)))</f>
        <v>12.416352227127947</v>
      </c>
      <c r="I313" s="91">
        <f>'IEPR Gas Prices Real'!I315*(INDEX('GDP Deflator'!$D$6:$D$91,MATCH('IEPR Gas Prices Nominal'!$B313,'GDP Deflator'!$B$6:$B$91,0)))</f>
        <v>8.8806795928764224</v>
      </c>
      <c r="J313" s="91">
        <f>'IEPR Gas Prices Real'!J315*(INDEX('GDP Deflator'!$D$6:$D$91,MATCH('IEPR Gas Prices Nominal'!$B313,'GDP Deflator'!$B$6:$B$91,0)))</f>
        <v>6.5171591112633553</v>
      </c>
      <c r="K313" s="91">
        <f>'IEPR Gas Prices Real'!K315*(INDEX('GDP Deflator'!$D$6:$D$91,MATCH('IEPR Gas Prices Nominal'!$B313,'GDP Deflator'!$B$6:$B$91,0)))</f>
        <v>15.397838704139778</v>
      </c>
      <c r="L313" s="91">
        <f>'IEPR Gas Prices Real'!L315*(INDEX('GDP Deflator'!$D$6:$D$91,MATCH('IEPR Gas Prices Nominal'!$B313,'GDP Deflator'!$B$6:$B$91,0)))</f>
        <v>9.2061519002964687</v>
      </c>
      <c r="M313" s="91">
        <f>'IEPR Gas Prices Real'!M315*(INDEX('GDP Deflator'!$D$6:$D$91,MATCH('IEPR Gas Prices Nominal'!$B313,'GDP Deflator'!$B$6:$B$91,0)))</f>
        <v>3.0777550277810013</v>
      </c>
      <c r="N313" s="91">
        <f>'IEPR Gas Prices Real'!N315*(INDEX('GDP Deflator'!$D$6:$D$91,MATCH('IEPR Gas Prices Nominal'!$B313,'GDP Deflator'!$B$6:$B$91,0)))</f>
        <v>12.283906928077469</v>
      </c>
      <c r="O313" s="19"/>
      <c r="P313" s="229">
        <f t="shared" si="27"/>
        <v>8.8529754139130201</v>
      </c>
      <c r="Q313" s="229">
        <f t="shared" si="31"/>
        <v>13.366032619781732</v>
      </c>
      <c r="R313" s="144"/>
    </row>
    <row r="314" spans="2:18">
      <c r="B314" s="142">
        <f t="shared" si="28"/>
        <v>2047</v>
      </c>
      <c r="C314" s="19">
        <f t="shared" si="29"/>
        <v>9</v>
      </c>
      <c r="D314" s="143">
        <v>53936</v>
      </c>
      <c r="E314" s="19" t="str">
        <f t="shared" si="30"/>
        <v>9-2047</v>
      </c>
      <c r="F314" s="91">
        <f>'IEPR Gas Prices Real'!F316*(INDEX('GDP Deflator'!$D$6:$D$91,MATCH('IEPR Gas Prices Nominal'!$B314,'GDP Deflator'!$B$6:$B$91,0)))</f>
        <v>8.5912382308663151</v>
      </c>
      <c r="G314" s="91">
        <f>'IEPR Gas Prices Real'!G316*(INDEX('GDP Deflator'!$D$6:$D$91,MATCH('IEPR Gas Prices Nominal'!$B314,'GDP Deflator'!$B$6:$B$91,0)))</f>
        <v>3.9442574785617794</v>
      </c>
      <c r="H314" s="91">
        <f>'IEPR Gas Prices Real'!H316*(INDEX('GDP Deflator'!$D$6:$D$91,MATCH('IEPR Gas Prices Nominal'!$B314,'GDP Deflator'!$B$6:$B$91,0)))</f>
        <v>12.535495709428094</v>
      </c>
      <c r="I314" s="91">
        <f>'IEPR Gas Prices Real'!I316*(INDEX('GDP Deflator'!$D$6:$D$91,MATCH('IEPR Gas Prices Nominal'!$B314,'GDP Deflator'!$B$6:$B$91,0)))</f>
        <v>9.0054831369043757</v>
      </c>
      <c r="J314" s="91">
        <f>'IEPR Gas Prices Real'!J316*(INDEX('GDP Deflator'!$D$6:$D$91,MATCH('IEPR Gas Prices Nominal'!$B314,'GDP Deflator'!$B$6:$B$91,0)))</f>
        <v>6.5171591112633553</v>
      </c>
      <c r="K314" s="91">
        <f>'IEPR Gas Prices Real'!K316*(INDEX('GDP Deflator'!$D$6:$D$91,MATCH('IEPR Gas Prices Nominal'!$B314,'GDP Deflator'!$B$6:$B$91,0)))</f>
        <v>15.522642248167733</v>
      </c>
      <c r="L314" s="91">
        <f>'IEPR Gas Prices Real'!L316*(INDEX('GDP Deflator'!$D$6:$D$91,MATCH('IEPR Gas Prices Nominal'!$B314,'GDP Deflator'!$B$6:$B$91,0)))</f>
        <v>9.3355333815930628</v>
      </c>
      <c r="M314" s="91">
        <f>'IEPR Gas Prices Real'!M316*(INDEX('GDP Deflator'!$D$6:$D$91,MATCH('IEPR Gas Prices Nominal'!$B314,'GDP Deflator'!$B$6:$B$91,0)))</f>
        <v>3.0777550277810013</v>
      </c>
      <c r="N314" s="91">
        <f>'IEPR Gas Prices Real'!N316*(INDEX('GDP Deflator'!$D$6:$D$91,MATCH('IEPR Gas Prices Nominal'!$B314,'GDP Deflator'!$B$6:$B$91,0)))</f>
        <v>12.413288409374063</v>
      </c>
      <c r="O314" s="19"/>
      <c r="P314" s="229">
        <f t="shared" si="27"/>
        <v>8.9774182497879185</v>
      </c>
      <c r="Q314" s="229">
        <f t="shared" si="31"/>
        <v>13.490475455656629</v>
      </c>
      <c r="R314" s="144"/>
    </row>
    <row r="315" spans="2:18">
      <c r="B315" s="142">
        <f t="shared" si="28"/>
        <v>2047</v>
      </c>
      <c r="C315" s="19">
        <f t="shared" si="29"/>
        <v>10</v>
      </c>
      <c r="D315" s="143">
        <v>53966</v>
      </c>
      <c r="E315" s="19" t="str">
        <f t="shared" si="30"/>
        <v>10-2047</v>
      </c>
      <c r="F315" s="91">
        <f>'IEPR Gas Prices Real'!F317*(INDEX('GDP Deflator'!$D$6:$D$91,MATCH('IEPR Gas Prices Nominal'!$B315,'GDP Deflator'!$B$6:$B$91,0)))</f>
        <v>8.5417073676709947</v>
      </c>
      <c r="G315" s="91">
        <f>'IEPR Gas Prices Real'!G317*(INDEX('GDP Deflator'!$D$6:$D$91,MATCH('IEPR Gas Prices Nominal'!$B315,'GDP Deflator'!$B$6:$B$91,0)))</f>
        <v>3.9442574785617794</v>
      </c>
      <c r="H315" s="91">
        <f>'IEPR Gas Prices Real'!H317*(INDEX('GDP Deflator'!$D$6:$D$91,MATCH('IEPR Gas Prices Nominal'!$B315,'GDP Deflator'!$B$6:$B$91,0)))</f>
        <v>12.485964846232774</v>
      </c>
      <c r="I315" s="91">
        <f>'IEPR Gas Prices Real'!I317*(INDEX('GDP Deflator'!$D$6:$D$91,MATCH('IEPR Gas Prices Nominal'!$B315,'GDP Deflator'!$B$6:$B$91,0)))</f>
        <v>8.953478637968896</v>
      </c>
      <c r="J315" s="91">
        <f>'IEPR Gas Prices Real'!J317*(INDEX('GDP Deflator'!$D$6:$D$91,MATCH('IEPR Gas Prices Nominal'!$B315,'GDP Deflator'!$B$6:$B$91,0)))</f>
        <v>6.5171591112633553</v>
      </c>
      <c r="K315" s="91">
        <f>'IEPR Gas Prices Real'!K317*(INDEX('GDP Deflator'!$D$6:$D$91,MATCH('IEPR Gas Prices Nominal'!$B315,'GDP Deflator'!$B$6:$B$91,0)))</f>
        <v>15.470637749232253</v>
      </c>
      <c r="L315" s="91">
        <f>'IEPR Gas Prices Real'!L317*(INDEX('GDP Deflator'!$D$6:$D$91,MATCH('IEPR Gas Prices Nominal'!$B315,'GDP Deflator'!$B$6:$B$91,0)))</f>
        <v>9.2816268515090314</v>
      </c>
      <c r="M315" s="91">
        <f>'IEPR Gas Prices Real'!M317*(INDEX('GDP Deflator'!$D$6:$D$91,MATCH('IEPR Gas Prices Nominal'!$B315,'GDP Deflator'!$B$6:$B$91,0)))</f>
        <v>3.0777550277810013</v>
      </c>
      <c r="N315" s="91">
        <f>'IEPR Gas Prices Real'!N317*(INDEX('GDP Deflator'!$D$6:$D$91,MATCH('IEPR Gas Prices Nominal'!$B315,'GDP Deflator'!$B$6:$B$91,0)))</f>
        <v>12.359381879290034</v>
      </c>
      <c r="O315" s="19"/>
      <c r="P315" s="229">
        <f t="shared" si="27"/>
        <v>8.9256042857163074</v>
      </c>
      <c r="Q315" s="229">
        <f t="shared" si="31"/>
        <v>13.438661491585021</v>
      </c>
      <c r="R315" s="144"/>
    </row>
    <row r="316" spans="2:18">
      <c r="B316" s="142">
        <f t="shared" si="28"/>
        <v>2047</v>
      </c>
      <c r="C316" s="19">
        <f t="shared" si="29"/>
        <v>11</v>
      </c>
      <c r="D316" s="143">
        <v>53997</v>
      </c>
      <c r="E316" s="19" t="str">
        <f t="shared" si="30"/>
        <v>11-2047</v>
      </c>
      <c r="F316" s="91">
        <f>'IEPR Gas Prices Real'!F318*(INDEX('GDP Deflator'!$D$6:$D$91,MATCH('IEPR Gas Prices Nominal'!$B316,'GDP Deflator'!$B$6:$B$91,0)))</f>
        <v>8.9638720275005426</v>
      </c>
      <c r="G316" s="91">
        <f>'IEPR Gas Prices Real'!G318*(INDEX('GDP Deflator'!$D$6:$D$91,MATCH('IEPR Gas Prices Nominal'!$B316,'GDP Deflator'!$B$6:$B$91,0)))</f>
        <v>3.9442574785617794</v>
      </c>
      <c r="H316" s="91">
        <f>'IEPR Gas Prices Real'!H318*(INDEX('GDP Deflator'!$D$6:$D$91,MATCH('IEPR Gas Prices Nominal'!$B316,'GDP Deflator'!$B$6:$B$91,0)))</f>
        <v>12.908129506062322</v>
      </c>
      <c r="I316" s="91">
        <f>'IEPR Gas Prices Real'!I318*(INDEX('GDP Deflator'!$D$6:$D$91,MATCH('IEPR Gas Prices Nominal'!$B316,'GDP Deflator'!$B$6:$B$91,0)))</f>
        <v>9.3959050199190255</v>
      </c>
      <c r="J316" s="91">
        <f>'IEPR Gas Prices Real'!J318*(INDEX('GDP Deflator'!$D$6:$D$91,MATCH('IEPR Gas Prices Nominal'!$B316,'GDP Deflator'!$B$6:$B$91,0)))</f>
        <v>6.5171591112633553</v>
      </c>
      <c r="K316" s="91">
        <f>'IEPR Gas Prices Real'!K318*(INDEX('GDP Deflator'!$D$6:$D$91,MATCH('IEPR Gas Prices Nominal'!$B316,'GDP Deflator'!$B$6:$B$91,0)))</f>
        <v>15.913064131182381</v>
      </c>
      <c r="L316" s="91">
        <f>'IEPR Gas Prices Real'!L318*(INDEX('GDP Deflator'!$D$6:$D$91,MATCH('IEPR Gas Prices Nominal'!$B316,'GDP Deflator'!$B$6:$B$91,0)))</f>
        <v>9.7402724437912855</v>
      </c>
      <c r="M316" s="91">
        <f>'IEPR Gas Prices Real'!M318*(INDEX('GDP Deflator'!$D$6:$D$91,MATCH('IEPR Gas Prices Nominal'!$B316,'GDP Deflator'!$B$6:$B$91,0)))</f>
        <v>3.0777550277810013</v>
      </c>
      <c r="N316" s="91">
        <f>'IEPR Gas Prices Real'!N318*(INDEX('GDP Deflator'!$D$6:$D$91,MATCH('IEPR Gas Prices Nominal'!$B316,'GDP Deflator'!$B$6:$B$91,0)))</f>
        <v>12.818027471572288</v>
      </c>
      <c r="O316" s="19"/>
      <c r="P316" s="229">
        <f t="shared" si="27"/>
        <v>9.3666831637369512</v>
      </c>
      <c r="Q316" s="229">
        <f t="shared" si="31"/>
        <v>13.879740369605663</v>
      </c>
      <c r="R316" s="144"/>
    </row>
    <row r="317" spans="2:18">
      <c r="B317" s="142">
        <f t="shared" si="28"/>
        <v>2047</v>
      </c>
      <c r="C317" s="19">
        <f t="shared" si="29"/>
        <v>12</v>
      </c>
      <c r="D317" s="143">
        <v>54027</v>
      </c>
      <c r="E317" s="19" t="str">
        <f t="shared" si="30"/>
        <v>12-2047</v>
      </c>
      <c r="F317" s="91">
        <f>'IEPR Gas Prices Real'!F319*(INDEX('GDP Deflator'!$D$6:$D$91,MATCH('IEPR Gas Prices Nominal'!$B317,'GDP Deflator'!$B$6:$B$91,0)))</f>
        <v>9.0359475213846334</v>
      </c>
      <c r="G317" s="91">
        <f>'IEPR Gas Prices Real'!G319*(INDEX('GDP Deflator'!$D$6:$D$91,MATCH('IEPR Gas Prices Nominal'!$B317,'GDP Deflator'!$B$6:$B$91,0)))</f>
        <v>3.9442574785617794</v>
      </c>
      <c r="H317" s="91">
        <f>'IEPR Gas Prices Real'!H319*(INDEX('GDP Deflator'!$D$6:$D$91,MATCH('IEPR Gas Prices Nominal'!$B317,'GDP Deflator'!$B$6:$B$91,0)))</f>
        <v>12.980204999946412</v>
      </c>
      <c r="I317" s="91">
        <f>'IEPR Gas Prices Real'!I319*(INDEX('GDP Deflator'!$D$6:$D$91,MATCH('IEPR Gas Prices Nominal'!$B317,'GDP Deflator'!$B$6:$B$91,0)))</f>
        <v>9.4713639896071289</v>
      </c>
      <c r="J317" s="91">
        <f>'IEPR Gas Prices Real'!J319*(INDEX('GDP Deflator'!$D$6:$D$91,MATCH('IEPR Gas Prices Nominal'!$B317,'GDP Deflator'!$B$6:$B$91,0)))</f>
        <v>6.5171591112633553</v>
      </c>
      <c r="K317" s="91">
        <f>'IEPR Gas Prices Real'!K319*(INDEX('GDP Deflator'!$D$6:$D$91,MATCH('IEPR Gas Prices Nominal'!$B317,'GDP Deflator'!$B$6:$B$91,0)))</f>
        <v>15.988523100870486</v>
      </c>
      <c r="L317" s="91">
        <f>'IEPR Gas Prices Real'!L319*(INDEX('GDP Deflator'!$D$6:$D$91,MATCH('IEPR Gas Prices Nominal'!$B317,'GDP Deflator'!$B$6:$B$91,0)))</f>
        <v>9.8185012028116088</v>
      </c>
      <c r="M317" s="91">
        <f>'IEPR Gas Prices Real'!M319*(INDEX('GDP Deflator'!$D$6:$D$91,MATCH('IEPR Gas Prices Nominal'!$B317,'GDP Deflator'!$B$6:$B$91,0)))</f>
        <v>3.0777550277810013</v>
      </c>
      <c r="N317" s="91">
        <f>'IEPR Gas Prices Real'!N319*(INDEX('GDP Deflator'!$D$6:$D$91,MATCH('IEPR Gas Prices Nominal'!$B317,'GDP Deflator'!$B$6:$B$91,0)))</f>
        <v>12.896256230592609</v>
      </c>
      <c r="O317" s="19"/>
      <c r="P317" s="229">
        <f t="shared" si="27"/>
        <v>9.4419375712677915</v>
      </c>
      <c r="Q317" s="229">
        <f t="shared" si="31"/>
        <v>13.9549947771365</v>
      </c>
      <c r="R317" s="144"/>
    </row>
    <row r="318" spans="2:18">
      <c r="B318" s="142">
        <f t="shared" si="28"/>
        <v>2048</v>
      </c>
      <c r="C318" s="19">
        <f t="shared" si="29"/>
        <v>1</v>
      </c>
      <c r="D318" s="143">
        <v>54058</v>
      </c>
      <c r="E318" s="19" t="str">
        <f t="shared" si="30"/>
        <v>1-2048</v>
      </c>
      <c r="F318" s="91">
        <f>'IEPR Gas Prices Real'!F320*(INDEX('GDP Deflator'!$D$6:$D$91,MATCH('IEPR Gas Prices Nominal'!$B318,'GDP Deflator'!$B$6:$B$91,0)))</f>
        <v>9.2424857105209259</v>
      </c>
      <c r="G318" s="91">
        <f>'IEPR Gas Prices Real'!G320*(INDEX('GDP Deflator'!$D$6:$D$91,MATCH('IEPR Gas Prices Nominal'!$B318,'GDP Deflator'!$B$6:$B$91,0)))</f>
        <v>4.1949858715115678</v>
      </c>
      <c r="H318" s="91">
        <f>'IEPR Gas Prices Real'!H320*(INDEX('GDP Deflator'!$D$6:$D$91,MATCH('IEPR Gas Prices Nominal'!$B318,'GDP Deflator'!$B$6:$B$91,0)))</f>
        <v>13.437471582032494</v>
      </c>
      <c r="I318" s="91">
        <f>'IEPR Gas Prices Real'!I320*(INDEX('GDP Deflator'!$D$6:$D$91,MATCH('IEPR Gas Prices Nominal'!$B318,'GDP Deflator'!$B$6:$B$91,0)))</f>
        <v>9.6877046885936586</v>
      </c>
      <c r="J318" s="91">
        <f>'IEPR Gas Prices Real'!J320*(INDEX('GDP Deflator'!$D$6:$D$91,MATCH('IEPR Gas Prices Nominal'!$B318,'GDP Deflator'!$B$6:$B$91,0)))</f>
        <v>6.9323426223848079</v>
      </c>
      <c r="K318" s="91">
        <f>'IEPR Gas Prices Real'!K320*(INDEX('GDP Deflator'!$D$6:$D$91,MATCH('IEPR Gas Prices Nominal'!$B318,'GDP Deflator'!$B$6:$B$91,0)))</f>
        <v>16.620047310978467</v>
      </c>
      <c r="L318" s="91">
        <f>'IEPR Gas Prices Real'!L320*(INDEX('GDP Deflator'!$D$6:$D$91,MATCH('IEPR Gas Prices Nominal'!$B318,'GDP Deflator'!$B$6:$B$91,0)))</f>
        <v>10.042775755161573</v>
      </c>
      <c r="M318" s="91">
        <f>'IEPR Gas Prices Real'!M320*(INDEX('GDP Deflator'!$D$6:$D$91,MATCH('IEPR Gas Prices Nominal'!$B318,'GDP Deflator'!$B$6:$B$91,0)))</f>
        <v>3.2738271378814581</v>
      </c>
      <c r="N318" s="91">
        <f>'IEPR Gas Prices Real'!N320*(INDEX('GDP Deflator'!$D$6:$D$91,MATCH('IEPR Gas Prices Nominal'!$B318,'GDP Deflator'!$B$6:$B$91,0)))</f>
        <v>13.316602893043031</v>
      </c>
      <c r="O318" s="19"/>
      <c r="P318" s="229">
        <f t="shared" si="27"/>
        <v>9.6576553847587192</v>
      </c>
      <c r="Q318" s="229">
        <f t="shared" si="31"/>
        <v>14.45804059535133</v>
      </c>
      <c r="R318" s="144"/>
    </row>
    <row r="319" spans="2:18">
      <c r="B319" s="142">
        <f t="shared" si="28"/>
        <v>2048</v>
      </c>
      <c r="C319" s="19">
        <f t="shared" si="29"/>
        <v>2</v>
      </c>
      <c r="D319" s="143">
        <v>54089</v>
      </c>
      <c r="E319" s="19" t="str">
        <f t="shared" si="30"/>
        <v>2-2048</v>
      </c>
      <c r="F319" s="91">
        <f>'IEPR Gas Prices Real'!F321*(INDEX('GDP Deflator'!$D$6:$D$91,MATCH('IEPR Gas Prices Nominal'!$B319,'GDP Deflator'!$B$6:$B$91,0)))</f>
        <v>9.039872207243782</v>
      </c>
      <c r="G319" s="91">
        <f>'IEPR Gas Prices Real'!G321*(INDEX('GDP Deflator'!$D$6:$D$91,MATCH('IEPR Gas Prices Nominal'!$B319,'GDP Deflator'!$B$6:$B$91,0)))</f>
        <v>4.1949858715115678</v>
      </c>
      <c r="H319" s="91">
        <f>'IEPR Gas Prices Real'!H321*(INDEX('GDP Deflator'!$D$6:$D$91,MATCH('IEPR Gas Prices Nominal'!$B319,'GDP Deflator'!$B$6:$B$91,0)))</f>
        <v>13.234858078755352</v>
      </c>
      <c r="I319" s="91">
        <f>'IEPR Gas Prices Real'!I321*(INDEX('GDP Deflator'!$D$6:$D$91,MATCH('IEPR Gas Prices Nominal'!$B319,'GDP Deflator'!$B$6:$B$91,0)))</f>
        <v>9.4751844094693336</v>
      </c>
      <c r="J319" s="91">
        <f>'IEPR Gas Prices Real'!J321*(INDEX('GDP Deflator'!$D$6:$D$91,MATCH('IEPR Gas Prices Nominal'!$B319,'GDP Deflator'!$B$6:$B$91,0)))</f>
        <v>6.9323426223848079</v>
      </c>
      <c r="K319" s="91">
        <f>'IEPR Gas Prices Real'!K321*(INDEX('GDP Deflator'!$D$6:$D$91,MATCH('IEPR Gas Prices Nominal'!$B319,'GDP Deflator'!$B$6:$B$91,0)))</f>
        <v>16.407527031854141</v>
      </c>
      <c r="L319" s="91">
        <f>'IEPR Gas Prices Real'!L321*(INDEX('GDP Deflator'!$D$6:$D$91,MATCH('IEPR Gas Prices Nominal'!$B319,'GDP Deflator'!$B$6:$B$91,0)))</f>
        <v>9.8224708380716024</v>
      </c>
      <c r="M319" s="91">
        <f>'IEPR Gas Prices Real'!M321*(INDEX('GDP Deflator'!$D$6:$D$91,MATCH('IEPR Gas Prices Nominal'!$B319,'GDP Deflator'!$B$6:$B$91,0)))</f>
        <v>3.2738271378814581</v>
      </c>
      <c r="N319" s="91">
        <f>'IEPR Gas Prices Real'!N321*(INDEX('GDP Deflator'!$D$6:$D$91,MATCH('IEPR Gas Prices Nominal'!$B319,'GDP Deflator'!$B$6:$B$91,0)))</f>
        <v>13.09629797595306</v>
      </c>
      <c r="O319" s="19"/>
      <c r="P319" s="229">
        <f t="shared" si="27"/>
        <v>9.4458424849282405</v>
      </c>
      <c r="Q319" s="229">
        <f t="shared" si="31"/>
        <v>14.246227695520851</v>
      </c>
      <c r="R319" s="144"/>
    </row>
    <row r="320" spans="2:18">
      <c r="B320" s="142">
        <f t="shared" si="28"/>
        <v>2048</v>
      </c>
      <c r="C320" s="19">
        <f t="shared" si="29"/>
        <v>3</v>
      </c>
      <c r="D320" s="143">
        <v>54118</v>
      </c>
      <c r="E320" s="19" t="str">
        <f t="shared" si="30"/>
        <v>3-2048</v>
      </c>
      <c r="F320" s="91">
        <f>'IEPR Gas Prices Real'!F322*(INDEX('GDP Deflator'!$D$6:$D$91,MATCH('IEPR Gas Prices Nominal'!$B320,'GDP Deflator'!$B$6:$B$91,0)))</f>
        <v>8.2986523035504245</v>
      </c>
      <c r="G320" s="91">
        <f>'IEPR Gas Prices Real'!G322*(INDEX('GDP Deflator'!$D$6:$D$91,MATCH('IEPR Gas Prices Nominal'!$B320,'GDP Deflator'!$B$6:$B$91,0)))</f>
        <v>4.1949858715115678</v>
      </c>
      <c r="H320" s="91">
        <f>'IEPR Gas Prices Real'!H322*(INDEX('GDP Deflator'!$D$6:$D$91,MATCH('IEPR Gas Prices Nominal'!$B320,'GDP Deflator'!$B$6:$B$91,0)))</f>
        <v>12.493638175061994</v>
      </c>
      <c r="I320" s="91">
        <f>'IEPR Gas Prices Real'!I322*(INDEX('GDP Deflator'!$D$6:$D$91,MATCH('IEPR Gas Prices Nominal'!$B320,'GDP Deflator'!$B$6:$B$91,0)))</f>
        <v>8.6981366142403491</v>
      </c>
      <c r="J320" s="91">
        <f>'IEPR Gas Prices Real'!J322*(INDEX('GDP Deflator'!$D$6:$D$91,MATCH('IEPR Gas Prices Nominal'!$B320,'GDP Deflator'!$B$6:$B$91,0)))</f>
        <v>6.9323426223848079</v>
      </c>
      <c r="K320" s="91">
        <f>'IEPR Gas Prices Real'!K322*(INDEX('GDP Deflator'!$D$6:$D$91,MATCH('IEPR Gas Prices Nominal'!$B320,'GDP Deflator'!$B$6:$B$91,0)))</f>
        <v>15.630479236625156</v>
      </c>
      <c r="L320" s="91">
        <f>'IEPR Gas Prices Real'!L322*(INDEX('GDP Deflator'!$D$6:$D$91,MATCH('IEPR Gas Prices Nominal'!$B320,'GDP Deflator'!$B$6:$B$91,0)))</f>
        <v>9.0169467454258818</v>
      </c>
      <c r="M320" s="91">
        <f>'IEPR Gas Prices Real'!M322*(INDEX('GDP Deflator'!$D$6:$D$91,MATCH('IEPR Gas Prices Nominal'!$B320,'GDP Deflator'!$B$6:$B$91,0)))</f>
        <v>3.2738271378814581</v>
      </c>
      <c r="N320" s="91">
        <f>'IEPR Gas Prices Real'!N322*(INDEX('GDP Deflator'!$D$6:$D$91,MATCH('IEPR Gas Prices Nominal'!$B320,'GDP Deflator'!$B$6:$B$91,0)))</f>
        <v>12.290773883307342</v>
      </c>
      <c r="O320" s="19"/>
      <c r="P320" s="229">
        <f t="shared" si="27"/>
        <v>8.6712452210722191</v>
      </c>
      <c r="Q320" s="229">
        <f t="shared" si="31"/>
        <v>13.471630431664829</v>
      </c>
      <c r="R320" s="144"/>
    </row>
    <row r="321" spans="2:18">
      <c r="B321" s="142">
        <f t="shared" si="28"/>
        <v>2048</v>
      </c>
      <c r="C321" s="19">
        <f t="shared" si="29"/>
        <v>4</v>
      </c>
      <c r="D321" s="143">
        <v>54149</v>
      </c>
      <c r="E321" s="19" t="str">
        <f t="shared" si="30"/>
        <v>4-2048</v>
      </c>
      <c r="F321" s="91">
        <f>'IEPR Gas Prices Real'!F323*(INDEX('GDP Deflator'!$D$6:$D$91,MATCH('IEPR Gas Prices Nominal'!$B321,'GDP Deflator'!$B$6:$B$91,0)))</f>
        <v>8.1574720373244247</v>
      </c>
      <c r="G321" s="91">
        <f>'IEPR Gas Prices Real'!G323*(INDEX('GDP Deflator'!$D$6:$D$91,MATCH('IEPR Gas Prices Nominal'!$B321,'GDP Deflator'!$B$6:$B$91,0)))</f>
        <v>4.1949858715115678</v>
      </c>
      <c r="H321" s="91">
        <f>'IEPR Gas Prices Real'!H323*(INDEX('GDP Deflator'!$D$6:$D$91,MATCH('IEPR Gas Prices Nominal'!$B321,'GDP Deflator'!$B$6:$B$91,0)))</f>
        <v>12.352457908835992</v>
      </c>
      <c r="I321" s="91">
        <f>'IEPR Gas Prices Real'!I323*(INDEX('GDP Deflator'!$D$6:$D$91,MATCH('IEPR Gas Prices Nominal'!$B321,'GDP Deflator'!$B$6:$B$91,0)))</f>
        <v>8.5500277487282812</v>
      </c>
      <c r="J321" s="91">
        <f>'IEPR Gas Prices Real'!J323*(INDEX('GDP Deflator'!$D$6:$D$91,MATCH('IEPR Gas Prices Nominal'!$B321,'GDP Deflator'!$B$6:$B$91,0)))</f>
        <v>6.9323426223848079</v>
      </c>
      <c r="K321" s="91">
        <f>'IEPR Gas Prices Real'!K323*(INDEX('GDP Deflator'!$D$6:$D$91,MATCH('IEPR Gas Prices Nominal'!$B321,'GDP Deflator'!$B$6:$B$91,0)))</f>
        <v>15.482370371113088</v>
      </c>
      <c r="L321" s="91">
        <f>'IEPR Gas Prices Real'!L323*(INDEX('GDP Deflator'!$D$6:$D$91,MATCH('IEPR Gas Prices Nominal'!$B321,'GDP Deflator'!$B$6:$B$91,0)))</f>
        <v>8.8634134396259565</v>
      </c>
      <c r="M321" s="91">
        <f>'IEPR Gas Prices Real'!M323*(INDEX('GDP Deflator'!$D$6:$D$91,MATCH('IEPR Gas Prices Nominal'!$B321,'GDP Deflator'!$B$6:$B$91,0)))</f>
        <v>3.2738271378814581</v>
      </c>
      <c r="N321" s="91">
        <f>'IEPR Gas Prices Real'!N323*(INDEX('GDP Deflator'!$D$6:$D$91,MATCH('IEPR Gas Prices Nominal'!$B321,'GDP Deflator'!$B$6:$B$91,0)))</f>
        <v>12.137240577507415</v>
      </c>
      <c r="O321" s="19"/>
      <c r="P321" s="229">
        <f t="shared" si="27"/>
        <v>8.5236377418928893</v>
      </c>
      <c r="Q321" s="229">
        <f t="shared" si="31"/>
        <v>13.324022952485498</v>
      </c>
      <c r="R321" s="144"/>
    </row>
    <row r="322" spans="2:18">
      <c r="B322" s="142">
        <f t="shared" si="28"/>
        <v>2048</v>
      </c>
      <c r="C322" s="19">
        <f t="shared" si="29"/>
        <v>5</v>
      </c>
      <c r="D322" s="143">
        <v>54179</v>
      </c>
      <c r="E322" s="19" t="str">
        <f t="shared" si="30"/>
        <v>5-2048</v>
      </c>
      <c r="F322" s="91">
        <f>'IEPR Gas Prices Real'!F324*(INDEX('GDP Deflator'!$D$6:$D$91,MATCH('IEPR Gas Prices Nominal'!$B322,'GDP Deflator'!$B$6:$B$91,0)))</f>
        <v>8.441402055154164</v>
      </c>
      <c r="G322" s="91">
        <f>'IEPR Gas Prices Real'!G324*(INDEX('GDP Deflator'!$D$6:$D$91,MATCH('IEPR Gas Prices Nominal'!$B322,'GDP Deflator'!$B$6:$B$91,0)))</f>
        <v>4.1949858715115678</v>
      </c>
      <c r="H322" s="91">
        <f>'IEPR Gas Prices Real'!H324*(INDEX('GDP Deflator'!$D$6:$D$91,MATCH('IEPR Gas Prices Nominal'!$B322,'GDP Deflator'!$B$6:$B$91,0)))</f>
        <v>12.636387926665732</v>
      </c>
      <c r="I322" s="91">
        <f>'IEPR Gas Prices Real'!I324*(INDEX('GDP Deflator'!$D$6:$D$91,MATCH('IEPR Gas Prices Nominal'!$B322,'GDP Deflator'!$B$6:$B$91,0)))</f>
        <v>8.8474840929096796</v>
      </c>
      <c r="J322" s="91">
        <f>'IEPR Gas Prices Real'!J324*(INDEX('GDP Deflator'!$D$6:$D$91,MATCH('IEPR Gas Prices Nominal'!$B322,'GDP Deflator'!$B$6:$B$91,0)))</f>
        <v>6.9323426223848079</v>
      </c>
      <c r="K322" s="91">
        <f>'IEPR Gas Prices Real'!K324*(INDEX('GDP Deflator'!$D$6:$D$91,MATCH('IEPR Gas Prices Nominal'!$B322,'GDP Deflator'!$B$6:$B$91,0)))</f>
        <v>15.779826715294488</v>
      </c>
      <c r="L322" s="91">
        <f>'IEPR Gas Prices Real'!L324*(INDEX('GDP Deflator'!$D$6:$D$91,MATCH('IEPR Gas Prices Nominal'!$B322,'GDP Deflator'!$B$6:$B$91,0)))</f>
        <v>9.1717767974884499</v>
      </c>
      <c r="M322" s="91">
        <f>'IEPR Gas Prices Real'!M324*(INDEX('GDP Deflator'!$D$6:$D$91,MATCH('IEPR Gas Prices Nominal'!$B322,'GDP Deflator'!$B$6:$B$91,0)))</f>
        <v>3.2738271378814581</v>
      </c>
      <c r="N322" s="91">
        <f>'IEPR Gas Prices Real'!N324*(INDEX('GDP Deflator'!$D$6:$D$91,MATCH('IEPR Gas Prices Nominal'!$B322,'GDP Deflator'!$B$6:$B$91,0)))</f>
        <v>12.445603935369908</v>
      </c>
      <c r="O322" s="19"/>
      <c r="P322" s="229">
        <f t="shared" si="27"/>
        <v>8.8202209818507651</v>
      </c>
      <c r="Q322" s="229">
        <f t="shared" si="31"/>
        <v>13.620606192443375</v>
      </c>
      <c r="R322" s="144"/>
    </row>
    <row r="323" spans="2:18">
      <c r="B323" s="142">
        <f t="shared" si="28"/>
        <v>2048</v>
      </c>
      <c r="C323" s="19">
        <f t="shared" si="29"/>
        <v>6</v>
      </c>
      <c r="D323" s="143">
        <v>54210</v>
      </c>
      <c r="E323" s="19" t="str">
        <f t="shared" si="30"/>
        <v>6-2048</v>
      </c>
      <c r="F323" s="91">
        <f>'IEPR Gas Prices Real'!F325*(INDEX('GDP Deflator'!$D$6:$D$91,MATCH('IEPR Gas Prices Nominal'!$B323,'GDP Deflator'!$B$6:$B$91,0)))</f>
        <v>8.6596574614119923</v>
      </c>
      <c r="G323" s="91">
        <f>'IEPR Gas Prices Real'!G325*(INDEX('GDP Deflator'!$D$6:$D$91,MATCH('IEPR Gas Prices Nominal'!$B323,'GDP Deflator'!$B$6:$B$91,0)))</f>
        <v>4.1949858715115678</v>
      </c>
      <c r="H323" s="91">
        <f>'IEPR Gas Prices Real'!H325*(INDEX('GDP Deflator'!$D$6:$D$91,MATCH('IEPR Gas Prices Nominal'!$B323,'GDP Deflator'!$B$6:$B$91,0)))</f>
        <v>12.854643332923562</v>
      </c>
      <c r="I323" s="91">
        <f>'IEPR Gas Prices Real'!I325*(INDEX('GDP Deflator'!$D$6:$D$91,MATCH('IEPR Gas Prices Nominal'!$B323,'GDP Deflator'!$B$6:$B$91,0)))</f>
        <v>9.0760983209000088</v>
      </c>
      <c r="J323" s="91">
        <f>'IEPR Gas Prices Real'!J325*(INDEX('GDP Deflator'!$D$6:$D$91,MATCH('IEPR Gas Prices Nominal'!$B323,'GDP Deflator'!$B$6:$B$91,0)))</f>
        <v>6.9323426223848079</v>
      </c>
      <c r="K323" s="91">
        <f>'IEPR Gas Prices Real'!K325*(INDEX('GDP Deflator'!$D$6:$D$91,MATCH('IEPR Gas Prices Nominal'!$B323,'GDP Deflator'!$B$6:$B$91,0)))</f>
        <v>16.008440943284818</v>
      </c>
      <c r="L323" s="91">
        <f>'IEPR Gas Prices Real'!L325*(INDEX('GDP Deflator'!$D$6:$D$91,MATCH('IEPR Gas Prices Nominal'!$B323,'GDP Deflator'!$B$6:$B$91,0)))</f>
        <v>9.4087749791538471</v>
      </c>
      <c r="M323" s="91">
        <f>'IEPR Gas Prices Real'!M325*(INDEX('GDP Deflator'!$D$6:$D$91,MATCH('IEPR Gas Prices Nominal'!$B323,'GDP Deflator'!$B$6:$B$91,0)))</f>
        <v>3.2738271378814581</v>
      </c>
      <c r="N323" s="91">
        <f>'IEPR Gas Prices Real'!N325*(INDEX('GDP Deflator'!$D$6:$D$91,MATCH('IEPR Gas Prices Nominal'!$B323,'GDP Deflator'!$B$6:$B$91,0)))</f>
        <v>12.682602117035305</v>
      </c>
      <c r="O323" s="19"/>
      <c r="P323" s="229">
        <f t="shared" si="27"/>
        <v>9.0481769204886167</v>
      </c>
      <c r="Q323" s="229">
        <f t="shared" si="31"/>
        <v>13.848562131081229</v>
      </c>
      <c r="R323" s="144"/>
    </row>
    <row r="324" spans="2:18">
      <c r="B324" s="142">
        <f t="shared" si="28"/>
        <v>2048</v>
      </c>
      <c r="C324" s="19">
        <f t="shared" si="29"/>
        <v>7</v>
      </c>
      <c r="D324" s="143">
        <v>54240</v>
      </c>
      <c r="E324" s="19" t="str">
        <f t="shared" si="30"/>
        <v>7-2048</v>
      </c>
      <c r="F324" s="91">
        <f>'IEPR Gas Prices Real'!F326*(INDEX('GDP Deflator'!$D$6:$D$91,MATCH('IEPR Gas Prices Nominal'!$B324,'GDP Deflator'!$B$6:$B$91,0)))</f>
        <v>8.7283867107459105</v>
      </c>
      <c r="G324" s="91">
        <f>'IEPR Gas Prices Real'!G326*(INDEX('GDP Deflator'!$D$6:$D$91,MATCH('IEPR Gas Prices Nominal'!$B324,'GDP Deflator'!$B$6:$B$91,0)))</f>
        <v>4.1949858715115678</v>
      </c>
      <c r="H324" s="91">
        <f>'IEPR Gas Prices Real'!H326*(INDEX('GDP Deflator'!$D$6:$D$91,MATCH('IEPR Gas Prices Nominal'!$B324,'GDP Deflator'!$B$6:$B$91,0)))</f>
        <v>12.923372582257478</v>
      </c>
      <c r="I324" s="91">
        <f>'IEPR Gas Prices Real'!I326*(INDEX('GDP Deflator'!$D$6:$D$91,MATCH('IEPR Gas Prices Nominal'!$B324,'GDP Deflator'!$B$6:$B$91,0)))</f>
        <v>9.1479910452675135</v>
      </c>
      <c r="J324" s="91">
        <f>'IEPR Gas Prices Real'!J326*(INDEX('GDP Deflator'!$D$6:$D$91,MATCH('IEPR Gas Prices Nominal'!$B324,'GDP Deflator'!$B$6:$B$91,0)))</f>
        <v>6.9323426223848079</v>
      </c>
      <c r="K324" s="91">
        <f>'IEPR Gas Prices Real'!K326*(INDEX('GDP Deflator'!$D$6:$D$91,MATCH('IEPR Gas Prices Nominal'!$B324,'GDP Deflator'!$B$6:$B$91,0)))</f>
        <v>16.080333667652322</v>
      </c>
      <c r="L324" s="91">
        <f>'IEPR Gas Prices Real'!L326*(INDEX('GDP Deflator'!$D$6:$D$91,MATCH('IEPR Gas Prices Nominal'!$B324,'GDP Deflator'!$B$6:$B$91,0)))</f>
        <v>9.4833073102024219</v>
      </c>
      <c r="M324" s="91">
        <f>'IEPR Gas Prices Real'!M326*(INDEX('GDP Deflator'!$D$6:$D$91,MATCH('IEPR Gas Prices Nominal'!$B324,'GDP Deflator'!$B$6:$B$91,0)))</f>
        <v>3.2738271378814581</v>
      </c>
      <c r="N324" s="91">
        <f>'IEPR Gas Prices Real'!N326*(INDEX('GDP Deflator'!$D$6:$D$91,MATCH('IEPR Gas Prices Nominal'!$B324,'GDP Deflator'!$B$6:$B$91,0)))</f>
        <v>12.75713444808388</v>
      </c>
      <c r="O324" s="19"/>
      <c r="P324" s="229">
        <f t="shared" si="27"/>
        <v>9.1198950220719492</v>
      </c>
      <c r="Q324" s="229">
        <f t="shared" si="31"/>
        <v>13.92028023266456</v>
      </c>
      <c r="R324" s="144"/>
    </row>
    <row r="325" spans="2:18">
      <c r="B325" s="142">
        <f t="shared" si="28"/>
        <v>2048</v>
      </c>
      <c r="C325" s="19">
        <f t="shared" si="29"/>
        <v>8</v>
      </c>
      <c r="D325" s="143">
        <v>54271</v>
      </c>
      <c r="E325" s="19" t="str">
        <f t="shared" si="30"/>
        <v>8-2048</v>
      </c>
      <c r="F325" s="91">
        <f>'IEPR Gas Prices Real'!F327*(INDEX('GDP Deflator'!$D$6:$D$91,MATCH('IEPR Gas Prices Nominal'!$B325,'GDP Deflator'!$B$6:$B$91,0)))</f>
        <v>8.6609962056686953</v>
      </c>
      <c r="G325" s="91">
        <f>'IEPR Gas Prices Real'!G327*(INDEX('GDP Deflator'!$D$6:$D$91,MATCH('IEPR Gas Prices Nominal'!$B325,'GDP Deflator'!$B$6:$B$91,0)))</f>
        <v>4.1949858715115678</v>
      </c>
      <c r="H325" s="91">
        <f>'IEPR Gas Prices Real'!H327*(INDEX('GDP Deflator'!$D$6:$D$91,MATCH('IEPR Gas Prices Nominal'!$B325,'GDP Deflator'!$B$6:$B$91,0)))</f>
        <v>12.855982077180265</v>
      </c>
      <c r="I325" s="91">
        <f>'IEPR Gas Prices Real'!I327*(INDEX('GDP Deflator'!$D$6:$D$91,MATCH('IEPR Gas Prices Nominal'!$B325,'GDP Deflator'!$B$6:$B$91,0)))</f>
        <v>9.0772202259621135</v>
      </c>
      <c r="J325" s="91">
        <f>'IEPR Gas Prices Real'!J327*(INDEX('GDP Deflator'!$D$6:$D$91,MATCH('IEPR Gas Prices Nominal'!$B325,'GDP Deflator'!$B$6:$B$91,0)))</f>
        <v>6.9323426223848079</v>
      </c>
      <c r="K325" s="91">
        <f>'IEPR Gas Prices Real'!K327*(INDEX('GDP Deflator'!$D$6:$D$91,MATCH('IEPR Gas Prices Nominal'!$B325,'GDP Deflator'!$B$6:$B$91,0)))</f>
        <v>16.009562848346921</v>
      </c>
      <c r="L325" s="91">
        <f>'IEPR Gas Prices Real'!L327*(INDEX('GDP Deflator'!$D$6:$D$91,MATCH('IEPR Gas Prices Nominal'!$B325,'GDP Deflator'!$B$6:$B$91,0)))</f>
        <v>9.4099468185993107</v>
      </c>
      <c r="M325" s="91">
        <f>'IEPR Gas Prices Real'!M327*(INDEX('GDP Deflator'!$D$6:$D$91,MATCH('IEPR Gas Prices Nominal'!$B325,'GDP Deflator'!$B$6:$B$91,0)))</f>
        <v>3.2738271378814581</v>
      </c>
      <c r="N325" s="91">
        <f>'IEPR Gas Prices Real'!N327*(INDEX('GDP Deflator'!$D$6:$D$91,MATCH('IEPR Gas Prices Nominal'!$B325,'GDP Deflator'!$B$6:$B$91,0)))</f>
        <v>12.683773956480769</v>
      </c>
      <c r="O325" s="19"/>
      <c r="P325" s="229">
        <f t="shared" si="27"/>
        <v>9.0493877500767059</v>
      </c>
      <c r="Q325" s="229">
        <f t="shared" si="31"/>
        <v>13.849772960669318</v>
      </c>
      <c r="R325" s="144"/>
    </row>
    <row r="326" spans="2:18">
      <c r="B326" s="142">
        <f t="shared" si="28"/>
        <v>2048</v>
      </c>
      <c r="C326" s="19">
        <f t="shared" si="29"/>
        <v>9</v>
      </c>
      <c r="D326" s="143">
        <v>54302</v>
      </c>
      <c r="E326" s="19" t="str">
        <f t="shared" si="30"/>
        <v>9-2048</v>
      </c>
      <c r="F326" s="91">
        <f>'IEPR Gas Prices Real'!F328*(INDEX('GDP Deflator'!$D$6:$D$91,MATCH('IEPR Gas Prices Nominal'!$B326,'GDP Deflator'!$B$6:$B$91,0)))</f>
        <v>8.7828494718883885</v>
      </c>
      <c r="G326" s="91">
        <f>'IEPR Gas Prices Real'!G328*(INDEX('GDP Deflator'!$D$6:$D$91,MATCH('IEPR Gas Prices Nominal'!$B326,'GDP Deflator'!$B$6:$B$91,0)))</f>
        <v>4.1949858715115678</v>
      </c>
      <c r="H326" s="91">
        <f>'IEPR Gas Prices Real'!H328*(INDEX('GDP Deflator'!$D$6:$D$91,MATCH('IEPR Gas Prices Nominal'!$B326,'GDP Deflator'!$B$6:$B$91,0)))</f>
        <v>12.977835343399958</v>
      </c>
      <c r="I326" s="91">
        <f>'IEPR Gas Prices Real'!I328*(INDEX('GDP Deflator'!$D$6:$D$91,MATCH('IEPR Gas Prices Nominal'!$B326,'GDP Deflator'!$B$6:$B$91,0)))</f>
        <v>9.2047868258419676</v>
      </c>
      <c r="J326" s="91">
        <f>'IEPR Gas Prices Real'!J328*(INDEX('GDP Deflator'!$D$6:$D$91,MATCH('IEPR Gas Prices Nominal'!$B326,'GDP Deflator'!$B$6:$B$91,0)))</f>
        <v>6.9323426223848079</v>
      </c>
      <c r="K326" s="91">
        <f>'IEPR Gas Prices Real'!K328*(INDEX('GDP Deflator'!$D$6:$D$91,MATCH('IEPR Gas Prices Nominal'!$B326,'GDP Deflator'!$B$6:$B$91,0)))</f>
        <v>16.137129448226776</v>
      </c>
      <c r="L326" s="91">
        <f>'IEPR Gas Prices Real'!L328*(INDEX('GDP Deflator'!$D$6:$D$91,MATCH('IEPR Gas Prices Nominal'!$B326,'GDP Deflator'!$B$6:$B$91,0)))</f>
        <v>9.5421938560466408</v>
      </c>
      <c r="M326" s="91">
        <f>'IEPR Gas Prices Real'!M328*(INDEX('GDP Deflator'!$D$6:$D$91,MATCH('IEPR Gas Prices Nominal'!$B326,'GDP Deflator'!$B$6:$B$91,0)))</f>
        <v>3.2738271378814581</v>
      </c>
      <c r="N326" s="91">
        <f>'IEPR Gas Prices Real'!N328*(INDEX('GDP Deflator'!$D$6:$D$91,MATCH('IEPR Gas Prices Nominal'!$B326,'GDP Deflator'!$B$6:$B$91,0)))</f>
        <v>12.816020993928099</v>
      </c>
      <c r="O326" s="19"/>
      <c r="P326" s="229">
        <f t="shared" ref="P326:P389" si="32">AVERAGE(F326,I326,L326)</f>
        <v>9.176610051258999</v>
      </c>
      <c r="Q326" s="229">
        <f t="shared" si="31"/>
        <v>13.976995261851611</v>
      </c>
      <c r="R326" s="144"/>
    </row>
    <row r="327" spans="2:18">
      <c r="B327" s="142">
        <f t="shared" ref="B327:B390" si="33">YEAR(D327)</f>
        <v>2048</v>
      </c>
      <c r="C327" s="19">
        <f t="shared" ref="C327:C390" si="34">MONTH(D327)</f>
        <v>10</v>
      </c>
      <c r="D327" s="143">
        <v>54332</v>
      </c>
      <c r="E327" s="19" t="str">
        <f t="shared" ref="E327:E390" si="35">C327&amp;"-"&amp;B327</f>
        <v>10-2048</v>
      </c>
      <c r="F327" s="91">
        <f>'IEPR Gas Prices Real'!F329*(INDEX('GDP Deflator'!$D$6:$D$91,MATCH('IEPR Gas Prices Nominal'!$B327,'GDP Deflator'!$B$6:$B$91,0)))</f>
        <v>8.7322668681252207</v>
      </c>
      <c r="G327" s="91">
        <f>'IEPR Gas Prices Real'!G329*(INDEX('GDP Deflator'!$D$6:$D$91,MATCH('IEPR Gas Prices Nominal'!$B327,'GDP Deflator'!$B$6:$B$91,0)))</f>
        <v>4.1949858715115678</v>
      </c>
      <c r="H327" s="91">
        <f>'IEPR Gas Prices Real'!H329*(INDEX('GDP Deflator'!$D$6:$D$91,MATCH('IEPR Gas Prices Nominal'!$B327,'GDP Deflator'!$B$6:$B$91,0)))</f>
        <v>12.927252739636788</v>
      </c>
      <c r="I327" s="91">
        <f>'IEPR Gas Prices Real'!I329*(INDEX('GDP Deflator'!$D$6:$D$91,MATCH('IEPR Gas Prices Nominal'!$B327,'GDP Deflator'!$B$6:$B$91,0)))</f>
        <v>9.1516323865116522</v>
      </c>
      <c r="J327" s="91">
        <f>'IEPR Gas Prices Real'!J329*(INDEX('GDP Deflator'!$D$6:$D$91,MATCH('IEPR Gas Prices Nominal'!$B327,'GDP Deflator'!$B$6:$B$91,0)))</f>
        <v>6.9323426223848079</v>
      </c>
      <c r="K327" s="91">
        <f>'IEPR Gas Prices Real'!K329*(INDEX('GDP Deflator'!$D$6:$D$91,MATCH('IEPR Gas Prices Nominal'!$B327,'GDP Deflator'!$B$6:$B$91,0)))</f>
        <v>16.083975008896459</v>
      </c>
      <c r="L327" s="91">
        <f>'IEPR Gas Prices Real'!L329*(INDEX('GDP Deflator'!$D$6:$D$91,MATCH('IEPR Gas Prices Nominal'!$B327,'GDP Deflator'!$B$6:$B$91,0)))</f>
        <v>9.4870954518557653</v>
      </c>
      <c r="M327" s="91">
        <f>'IEPR Gas Prices Real'!M329*(INDEX('GDP Deflator'!$D$6:$D$91,MATCH('IEPR Gas Prices Nominal'!$B327,'GDP Deflator'!$B$6:$B$91,0)))</f>
        <v>3.2738271378814581</v>
      </c>
      <c r="N327" s="91">
        <f>'IEPR Gas Prices Real'!N329*(INDEX('GDP Deflator'!$D$6:$D$91,MATCH('IEPR Gas Prices Nominal'!$B327,'GDP Deflator'!$B$6:$B$91,0)))</f>
        <v>12.760922589737225</v>
      </c>
      <c r="O327" s="19"/>
      <c r="P327" s="229">
        <f t="shared" si="32"/>
        <v>9.1236649021642133</v>
      </c>
      <c r="Q327" s="229">
        <f t="shared" ref="Q327:Q390" si="36">AVERAGE(H327,K327,N327)</f>
        <v>13.924050112756824</v>
      </c>
      <c r="R327" s="144"/>
    </row>
    <row r="328" spans="2:18">
      <c r="B328" s="142">
        <f t="shared" si="33"/>
        <v>2048</v>
      </c>
      <c r="C328" s="19">
        <f t="shared" si="34"/>
        <v>11</v>
      </c>
      <c r="D328" s="143">
        <v>54363</v>
      </c>
      <c r="E328" s="19" t="str">
        <f t="shared" si="35"/>
        <v>11-2048</v>
      </c>
      <c r="F328" s="91">
        <f>'IEPR Gas Prices Real'!F330*(INDEX('GDP Deflator'!$D$6:$D$91,MATCH('IEPR Gas Prices Nominal'!$B328,'GDP Deflator'!$B$6:$B$91,0)))</f>
        <v>9.1639052986351821</v>
      </c>
      <c r="G328" s="91">
        <f>'IEPR Gas Prices Real'!G330*(INDEX('GDP Deflator'!$D$6:$D$91,MATCH('IEPR Gas Prices Nominal'!$B328,'GDP Deflator'!$B$6:$B$91,0)))</f>
        <v>4.1949858715115678</v>
      </c>
      <c r="H328" s="91">
        <f>'IEPR Gas Prices Real'!H330*(INDEX('GDP Deflator'!$D$6:$D$91,MATCH('IEPR Gas Prices Nominal'!$B328,'GDP Deflator'!$B$6:$B$91,0)))</f>
        <v>13.358891170146752</v>
      </c>
      <c r="I328" s="91">
        <f>'IEPR Gas Prices Real'!I330*(INDEX('GDP Deflator'!$D$6:$D$91,MATCH('IEPR Gas Prices Nominal'!$B328,'GDP Deflator'!$B$6:$B$91,0)))</f>
        <v>9.6038513593570087</v>
      </c>
      <c r="J328" s="91">
        <f>'IEPR Gas Prices Real'!J330*(INDEX('GDP Deflator'!$D$6:$D$91,MATCH('IEPR Gas Prices Nominal'!$B328,'GDP Deflator'!$B$6:$B$91,0)))</f>
        <v>6.9323426223848079</v>
      </c>
      <c r="K328" s="91">
        <f>'IEPR Gas Prices Real'!K330*(INDEX('GDP Deflator'!$D$6:$D$91,MATCH('IEPR Gas Prices Nominal'!$B328,'GDP Deflator'!$B$6:$B$91,0)))</f>
        <v>16.536193981741818</v>
      </c>
      <c r="L328" s="91">
        <f>'IEPR Gas Prices Real'!L330*(INDEX('GDP Deflator'!$D$6:$D$91,MATCH('IEPR Gas Prices Nominal'!$B328,'GDP Deflator'!$B$6:$B$91,0)))</f>
        <v>9.9558956676499797</v>
      </c>
      <c r="M328" s="91">
        <f>'IEPR Gas Prices Real'!M330*(INDEX('GDP Deflator'!$D$6:$D$91,MATCH('IEPR Gas Prices Nominal'!$B328,'GDP Deflator'!$B$6:$B$91,0)))</f>
        <v>3.2738271378814581</v>
      </c>
      <c r="N328" s="91">
        <f>'IEPR Gas Prices Real'!N330*(INDEX('GDP Deflator'!$D$6:$D$91,MATCH('IEPR Gas Prices Nominal'!$B328,'GDP Deflator'!$B$6:$B$91,0)))</f>
        <v>13.229722805531438</v>
      </c>
      <c r="O328" s="19"/>
      <c r="P328" s="229">
        <f t="shared" si="32"/>
        <v>9.5745507752140568</v>
      </c>
      <c r="Q328" s="229">
        <f t="shared" si="36"/>
        <v>14.374935985806667</v>
      </c>
      <c r="R328" s="144"/>
    </row>
    <row r="329" spans="2:18">
      <c r="B329" s="142">
        <f t="shared" si="33"/>
        <v>2048</v>
      </c>
      <c r="C329" s="19">
        <f t="shared" si="34"/>
        <v>12</v>
      </c>
      <c r="D329" s="143">
        <v>54393</v>
      </c>
      <c r="E329" s="19" t="str">
        <f t="shared" si="35"/>
        <v>12-2048</v>
      </c>
      <c r="F329" s="91">
        <f>'IEPR Gas Prices Real'!F331*(INDEX('GDP Deflator'!$D$6:$D$91,MATCH('IEPR Gas Prices Nominal'!$B329,'GDP Deflator'!$B$6:$B$91,0)))</f>
        <v>9.237645218138514</v>
      </c>
      <c r="G329" s="91">
        <f>'IEPR Gas Prices Real'!G331*(INDEX('GDP Deflator'!$D$6:$D$91,MATCH('IEPR Gas Prices Nominal'!$B329,'GDP Deflator'!$B$6:$B$91,0)))</f>
        <v>4.1949858715115678</v>
      </c>
      <c r="H329" s="91">
        <f>'IEPR Gas Prices Real'!H331*(INDEX('GDP Deflator'!$D$6:$D$91,MATCH('IEPR Gas Prices Nominal'!$B329,'GDP Deflator'!$B$6:$B$91,0)))</f>
        <v>13.432631089650082</v>
      </c>
      <c r="I329" s="91">
        <f>'IEPR Gas Prices Real'!I331*(INDEX('GDP Deflator'!$D$6:$D$91,MATCH('IEPR Gas Prices Nominal'!$B329,'GDP Deflator'!$B$6:$B$91,0)))</f>
        <v>9.6809814041852391</v>
      </c>
      <c r="J329" s="91">
        <f>'IEPR Gas Prices Real'!J331*(INDEX('GDP Deflator'!$D$6:$D$91,MATCH('IEPR Gas Prices Nominal'!$B329,'GDP Deflator'!$B$6:$B$91,0)))</f>
        <v>6.9323426223848079</v>
      </c>
      <c r="K329" s="91">
        <f>'IEPR Gas Prices Real'!K331*(INDEX('GDP Deflator'!$D$6:$D$91,MATCH('IEPR Gas Prices Nominal'!$B329,'GDP Deflator'!$B$6:$B$91,0)))</f>
        <v>16.613324026570048</v>
      </c>
      <c r="L329" s="91">
        <f>'IEPR Gas Prices Real'!L331*(INDEX('GDP Deflator'!$D$6:$D$91,MATCH('IEPR Gas Prices Nominal'!$B329,'GDP Deflator'!$B$6:$B$91,0)))</f>
        <v>10.035857737133277</v>
      </c>
      <c r="M329" s="91">
        <f>'IEPR Gas Prices Real'!M331*(INDEX('GDP Deflator'!$D$6:$D$91,MATCH('IEPR Gas Prices Nominal'!$B329,'GDP Deflator'!$B$6:$B$91,0)))</f>
        <v>3.2738271378814581</v>
      </c>
      <c r="N329" s="91">
        <f>'IEPR Gas Prices Real'!N331*(INDEX('GDP Deflator'!$D$6:$D$91,MATCH('IEPR Gas Prices Nominal'!$B329,'GDP Deflator'!$B$6:$B$91,0)))</f>
        <v>13.309684875014735</v>
      </c>
      <c r="O329" s="19"/>
      <c r="P329" s="229">
        <f t="shared" si="32"/>
        <v>9.6514947864856762</v>
      </c>
      <c r="Q329" s="229">
        <f t="shared" si="36"/>
        <v>14.451879997078288</v>
      </c>
      <c r="R329" s="144"/>
    </row>
    <row r="330" spans="2:18">
      <c r="B330" s="142">
        <f t="shared" si="33"/>
        <v>2049</v>
      </c>
      <c r="C330" s="19">
        <f t="shared" si="34"/>
        <v>1</v>
      </c>
      <c r="D330" s="143">
        <v>54424</v>
      </c>
      <c r="E330" s="19" t="str">
        <f t="shared" si="35"/>
        <v>1-2049</v>
      </c>
      <c r="F330" s="91">
        <f>'IEPR Gas Prices Real'!F332*(INDEX('GDP Deflator'!$D$6:$D$91,MATCH('IEPR Gas Prices Nominal'!$B330,'GDP Deflator'!$B$6:$B$91,0)))</f>
        <v>9.4484565294772747</v>
      </c>
      <c r="G330" s="91">
        <f>'IEPR Gas Prices Real'!G332*(INDEX('GDP Deflator'!$D$6:$D$91,MATCH('IEPR Gas Prices Nominal'!$B330,'GDP Deflator'!$B$6:$B$91,0)))</f>
        <v>4.4614775310614823</v>
      </c>
      <c r="H330" s="91">
        <f>'IEPR Gas Prices Real'!H332*(INDEX('GDP Deflator'!$D$6:$D$91,MATCH('IEPR Gas Prices Nominal'!$B330,'GDP Deflator'!$B$6:$B$91,0)))</f>
        <v>13.909934060538756</v>
      </c>
      <c r="I330" s="91">
        <f>'IEPR Gas Prices Real'!I332*(INDEX('GDP Deflator'!$D$6:$D$91,MATCH('IEPR Gas Prices Nominal'!$B330,'GDP Deflator'!$B$6:$B$91,0)))</f>
        <v>9.9017496769761344</v>
      </c>
      <c r="J330" s="91">
        <f>'IEPR Gas Prices Real'!J332*(INDEX('GDP Deflator'!$D$6:$D$91,MATCH('IEPR Gas Prices Nominal'!$B330,'GDP Deflator'!$B$6:$B$91,0)))</f>
        <v>7.3736864797161887</v>
      </c>
      <c r="K330" s="91">
        <f>'IEPR Gas Prices Real'!K332*(INDEX('GDP Deflator'!$D$6:$D$91,MATCH('IEPR Gas Prices Nominal'!$B330,'GDP Deflator'!$B$6:$B$91,0)))</f>
        <v>17.275436156692326</v>
      </c>
      <c r="L330" s="91">
        <f>'IEPR Gas Prices Real'!L332*(INDEX('GDP Deflator'!$D$6:$D$91,MATCH('IEPR Gas Prices Nominal'!$B330,'GDP Deflator'!$B$6:$B$91,0)))</f>
        <v>10.264723870515118</v>
      </c>
      <c r="M330" s="91">
        <f>'IEPR Gas Prices Real'!M332*(INDEX('GDP Deflator'!$D$6:$D$91,MATCH('IEPR Gas Prices Nominal'!$B330,'GDP Deflator'!$B$6:$B$91,0)))</f>
        <v>3.4822535784043445</v>
      </c>
      <c r="N330" s="91">
        <f>'IEPR Gas Prices Real'!N332*(INDEX('GDP Deflator'!$D$6:$D$91,MATCH('IEPR Gas Prices Nominal'!$B330,'GDP Deflator'!$B$6:$B$91,0)))</f>
        <v>13.746977448919463</v>
      </c>
      <c r="O330" s="19"/>
      <c r="P330" s="229">
        <f t="shared" si="32"/>
        <v>9.871643358989509</v>
      </c>
      <c r="Q330" s="229">
        <f t="shared" si="36"/>
        <v>14.977449222050183</v>
      </c>
      <c r="R330" s="144"/>
    </row>
    <row r="331" spans="2:18">
      <c r="B331" s="142">
        <f t="shared" si="33"/>
        <v>2049</v>
      </c>
      <c r="C331" s="19">
        <f t="shared" si="34"/>
        <v>2</v>
      </c>
      <c r="D331" s="143">
        <v>54455</v>
      </c>
      <c r="E331" s="19" t="str">
        <f t="shared" si="35"/>
        <v>2-2049</v>
      </c>
      <c r="F331" s="91">
        <f>'IEPR Gas Prices Real'!F333*(INDEX('GDP Deflator'!$D$6:$D$91,MATCH('IEPR Gas Prices Nominal'!$B331,'GDP Deflator'!$B$6:$B$91,0)))</f>
        <v>9.2413606995146242</v>
      </c>
      <c r="G331" s="91">
        <f>'IEPR Gas Prices Real'!G333*(INDEX('GDP Deflator'!$D$6:$D$91,MATCH('IEPR Gas Prices Nominal'!$B331,'GDP Deflator'!$B$6:$B$91,0)))</f>
        <v>4.4614775310614823</v>
      </c>
      <c r="H331" s="91">
        <f>'IEPR Gas Prices Real'!H333*(INDEX('GDP Deflator'!$D$6:$D$91,MATCH('IEPR Gas Prices Nominal'!$B331,'GDP Deflator'!$B$6:$B$91,0)))</f>
        <v>13.702838230576106</v>
      </c>
      <c r="I331" s="91">
        <f>'IEPR Gas Prices Real'!I333*(INDEX('GDP Deflator'!$D$6:$D$91,MATCH('IEPR Gas Prices Nominal'!$B331,'GDP Deflator'!$B$6:$B$91,0)))</f>
        <v>9.6845614869399732</v>
      </c>
      <c r="J331" s="91">
        <f>'IEPR Gas Prices Real'!J333*(INDEX('GDP Deflator'!$D$6:$D$91,MATCH('IEPR Gas Prices Nominal'!$B331,'GDP Deflator'!$B$6:$B$91,0)))</f>
        <v>7.3736864797161887</v>
      </c>
      <c r="K331" s="91">
        <f>'IEPR Gas Prices Real'!K333*(INDEX('GDP Deflator'!$D$6:$D$91,MATCH('IEPR Gas Prices Nominal'!$B331,'GDP Deflator'!$B$6:$B$91,0)))</f>
        <v>17.058247966656165</v>
      </c>
      <c r="L331" s="91">
        <f>'IEPR Gas Prices Real'!L333*(INDEX('GDP Deflator'!$D$6:$D$91,MATCH('IEPR Gas Prices Nominal'!$B331,'GDP Deflator'!$B$6:$B$91,0)))</f>
        <v>10.03957911881407</v>
      </c>
      <c r="M331" s="91">
        <f>'IEPR Gas Prices Real'!M333*(INDEX('GDP Deflator'!$D$6:$D$91,MATCH('IEPR Gas Prices Nominal'!$B331,'GDP Deflator'!$B$6:$B$91,0)))</f>
        <v>3.4822535784043445</v>
      </c>
      <c r="N331" s="91">
        <f>'IEPR Gas Prices Real'!N333*(INDEX('GDP Deflator'!$D$6:$D$91,MATCH('IEPR Gas Prices Nominal'!$B331,'GDP Deflator'!$B$6:$B$91,0)))</f>
        <v>13.521832697218414</v>
      </c>
      <c r="O331" s="19"/>
      <c r="P331" s="229">
        <f t="shared" si="32"/>
        <v>9.6551671017562217</v>
      </c>
      <c r="Q331" s="229">
        <f t="shared" si="36"/>
        <v>14.760972964816895</v>
      </c>
      <c r="R331" s="144"/>
    </row>
    <row r="332" spans="2:18">
      <c r="B332" s="142">
        <f t="shared" si="33"/>
        <v>2049</v>
      </c>
      <c r="C332" s="19">
        <f t="shared" si="34"/>
        <v>3</v>
      </c>
      <c r="D332" s="143">
        <v>54483</v>
      </c>
      <c r="E332" s="19" t="str">
        <f t="shared" si="35"/>
        <v>3-2049</v>
      </c>
      <c r="F332" s="91">
        <f>'IEPR Gas Prices Real'!F334*(INDEX('GDP Deflator'!$D$6:$D$91,MATCH('IEPR Gas Prices Nominal'!$B332,'GDP Deflator'!$B$6:$B$91,0)))</f>
        <v>8.4836501048158954</v>
      </c>
      <c r="G332" s="91">
        <f>'IEPR Gas Prices Real'!G334*(INDEX('GDP Deflator'!$D$6:$D$91,MATCH('IEPR Gas Prices Nominal'!$B332,'GDP Deflator'!$B$6:$B$91,0)))</f>
        <v>4.4614775310614823</v>
      </c>
      <c r="H332" s="91">
        <f>'IEPR Gas Prices Real'!H334*(INDEX('GDP Deflator'!$D$6:$D$91,MATCH('IEPR Gas Prices Nominal'!$B332,'GDP Deflator'!$B$6:$B$91,0)))</f>
        <v>12.945127635877377</v>
      </c>
      <c r="I332" s="91">
        <f>'IEPR Gas Prices Real'!I334*(INDEX('GDP Deflator'!$D$6:$D$91,MATCH('IEPR Gas Prices Nominal'!$B332,'GDP Deflator'!$B$6:$B$91,0)))</f>
        <v>8.8903683006111738</v>
      </c>
      <c r="J332" s="91">
        <f>'IEPR Gas Prices Real'!J334*(INDEX('GDP Deflator'!$D$6:$D$91,MATCH('IEPR Gas Prices Nominal'!$B332,'GDP Deflator'!$B$6:$B$91,0)))</f>
        <v>7.3736864797161887</v>
      </c>
      <c r="K332" s="91">
        <f>'IEPR Gas Prices Real'!K334*(INDEX('GDP Deflator'!$D$6:$D$91,MATCH('IEPR Gas Prices Nominal'!$B332,'GDP Deflator'!$B$6:$B$91,0)))</f>
        <v>16.264054780327363</v>
      </c>
      <c r="L332" s="91">
        <f>'IEPR Gas Prices Real'!L334*(INDEX('GDP Deflator'!$D$6:$D$91,MATCH('IEPR Gas Prices Nominal'!$B332,'GDP Deflator'!$B$6:$B$91,0)))</f>
        <v>9.2162769384260326</v>
      </c>
      <c r="M332" s="91">
        <f>'IEPR Gas Prices Real'!M334*(INDEX('GDP Deflator'!$D$6:$D$91,MATCH('IEPR Gas Prices Nominal'!$B332,'GDP Deflator'!$B$6:$B$91,0)))</f>
        <v>3.4822535784043445</v>
      </c>
      <c r="N332" s="91">
        <f>'IEPR Gas Prices Real'!N334*(INDEX('GDP Deflator'!$D$6:$D$91,MATCH('IEPR Gas Prices Nominal'!$B332,'GDP Deflator'!$B$6:$B$91,0)))</f>
        <v>12.698530516830377</v>
      </c>
      <c r="O332" s="19"/>
      <c r="P332" s="229">
        <f t="shared" si="32"/>
        <v>8.8634317812843673</v>
      </c>
      <c r="Q332" s="229">
        <f t="shared" si="36"/>
        <v>13.969237644345037</v>
      </c>
      <c r="R332" s="144"/>
    </row>
    <row r="333" spans="2:18">
      <c r="B333" s="142">
        <f t="shared" si="33"/>
        <v>2049</v>
      </c>
      <c r="C333" s="19">
        <f t="shared" si="34"/>
        <v>4</v>
      </c>
      <c r="D333" s="143">
        <v>54514</v>
      </c>
      <c r="E333" s="19" t="str">
        <f t="shared" si="35"/>
        <v>4-2049</v>
      </c>
      <c r="F333" s="91">
        <f>'IEPR Gas Prices Real'!F335*(INDEX('GDP Deflator'!$D$6:$D$91,MATCH('IEPR Gas Prices Nominal'!$B333,'GDP Deflator'!$B$6:$B$91,0)))</f>
        <v>8.3393523228448405</v>
      </c>
      <c r="G333" s="91">
        <f>'IEPR Gas Prices Real'!G335*(INDEX('GDP Deflator'!$D$6:$D$91,MATCH('IEPR Gas Prices Nominal'!$B333,'GDP Deflator'!$B$6:$B$91,0)))</f>
        <v>4.4614775310614823</v>
      </c>
      <c r="H333" s="91">
        <f>'IEPR Gas Prices Real'!H335*(INDEX('GDP Deflator'!$D$6:$D$91,MATCH('IEPR Gas Prices Nominal'!$B333,'GDP Deflator'!$B$6:$B$91,0)))</f>
        <v>12.800829853906322</v>
      </c>
      <c r="I333" s="91">
        <f>'IEPR Gas Prices Real'!I335*(INDEX('GDP Deflator'!$D$6:$D$91,MATCH('IEPR Gas Prices Nominal'!$B333,'GDP Deflator'!$B$6:$B$91,0)))</f>
        <v>8.7390111074132868</v>
      </c>
      <c r="J333" s="91">
        <f>'IEPR Gas Prices Real'!J335*(INDEX('GDP Deflator'!$D$6:$D$91,MATCH('IEPR Gas Prices Nominal'!$B333,'GDP Deflator'!$B$6:$B$91,0)))</f>
        <v>7.3736864797161887</v>
      </c>
      <c r="K333" s="91">
        <f>'IEPR Gas Prices Real'!K335*(INDEX('GDP Deflator'!$D$6:$D$91,MATCH('IEPR Gas Prices Nominal'!$B333,'GDP Deflator'!$B$6:$B$91,0)))</f>
        <v>16.112697587129478</v>
      </c>
      <c r="L333" s="91">
        <f>'IEPR Gas Prices Real'!L335*(INDEX('GDP Deflator'!$D$6:$D$91,MATCH('IEPR Gas Prices Nominal'!$B333,'GDP Deflator'!$B$6:$B$91,0)))</f>
        <v>9.0593757410074751</v>
      </c>
      <c r="M333" s="91">
        <f>'IEPR Gas Prices Real'!M335*(INDEX('GDP Deflator'!$D$6:$D$91,MATCH('IEPR Gas Prices Nominal'!$B333,'GDP Deflator'!$B$6:$B$91,0)))</f>
        <v>3.4822535784043445</v>
      </c>
      <c r="N333" s="91">
        <f>'IEPR Gas Prices Real'!N335*(INDEX('GDP Deflator'!$D$6:$D$91,MATCH('IEPR Gas Prices Nominal'!$B333,'GDP Deflator'!$B$6:$B$91,0)))</f>
        <v>12.541629319411818</v>
      </c>
      <c r="O333" s="19"/>
      <c r="P333" s="229">
        <f t="shared" si="32"/>
        <v>8.7125797237552014</v>
      </c>
      <c r="Q333" s="229">
        <f t="shared" si="36"/>
        <v>13.818385586815873</v>
      </c>
      <c r="R333" s="144"/>
    </row>
    <row r="334" spans="2:18">
      <c r="B334" s="142">
        <f t="shared" si="33"/>
        <v>2049</v>
      </c>
      <c r="C334" s="19">
        <f t="shared" si="34"/>
        <v>5</v>
      </c>
      <c r="D334" s="143">
        <v>54544</v>
      </c>
      <c r="E334" s="19" t="str">
        <f t="shared" si="35"/>
        <v>5-2049</v>
      </c>
      <c r="F334" s="91">
        <f>'IEPR Gas Prices Real'!F336*(INDEX('GDP Deflator'!$D$6:$D$91,MATCH('IEPR Gas Prices Nominal'!$B334,'GDP Deflator'!$B$6:$B$91,0)))</f>
        <v>8.6296436739167106</v>
      </c>
      <c r="G334" s="91">
        <f>'IEPR Gas Prices Real'!G336*(INDEX('GDP Deflator'!$D$6:$D$91,MATCH('IEPR Gas Prices Nominal'!$B334,'GDP Deflator'!$B$6:$B$91,0)))</f>
        <v>4.4614775310614823</v>
      </c>
      <c r="H334" s="91">
        <f>'IEPR Gas Prices Real'!H336*(INDEX('GDP Deflator'!$D$6:$D$91,MATCH('IEPR Gas Prices Nominal'!$B334,'GDP Deflator'!$B$6:$B$91,0)))</f>
        <v>13.091121204978192</v>
      </c>
      <c r="I334" s="91">
        <f>'IEPR Gas Prices Real'!I336*(INDEX('GDP Deflator'!$D$6:$D$91,MATCH('IEPR Gas Prices Nominal'!$B334,'GDP Deflator'!$B$6:$B$91,0)))</f>
        <v>9.0430679991328322</v>
      </c>
      <c r="J334" s="91">
        <f>'IEPR Gas Prices Real'!J336*(INDEX('GDP Deflator'!$D$6:$D$91,MATCH('IEPR Gas Prices Nominal'!$B334,'GDP Deflator'!$B$6:$B$91,0)))</f>
        <v>7.3736864797161887</v>
      </c>
      <c r="K334" s="91">
        <f>'IEPR Gas Prices Real'!K336*(INDEX('GDP Deflator'!$D$6:$D$91,MATCH('IEPR Gas Prices Nominal'!$B334,'GDP Deflator'!$B$6:$B$91,0)))</f>
        <v>16.416754478849022</v>
      </c>
      <c r="L334" s="91">
        <f>'IEPR Gas Prices Real'!L336*(INDEX('GDP Deflator'!$D$6:$D$91,MATCH('IEPR Gas Prices Nominal'!$B334,'GDP Deflator'!$B$6:$B$91,0)))</f>
        <v>9.3745837971440196</v>
      </c>
      <c r="M334" s="91">
        <f>'IEPR Gas Prices Real'!M336*(INDEX('GDP Deflator'!$D$6:$D$91,MATCH('IEPR Gas Prices Nominal'!$B334,'GDP Deflator'!$B$6:$B$91,0)))</f>
        <v>3.4822535784043445</v>
      </c>
      <c r="N334" s="91">
        <f>'IEPR Gas Prices Real'!N336*(INDEX('GDP Deflator'!$D$6:$D$91,MATCH('IEPR Gas Prices Nominal'!$B334,'GDP Deflator'!$B$6:$B$91,0)))</f>
        <v>12.856837375548364</v>
      </c>
      <c r="O334" s="19"/>
      <c r="P334" s="229">
        <f t="shared" si="32"/>
        <v>9.0157651567311863</v>
      </c>
      <c r="Q334" s="229">
        <f t="shared" si="36"/>
        <v>14.12157101979186</v>
      </c>
      <c r="R334" s="144"/>
    </row>
    <row r="335" spans="2:18">
      <c r="B335" s="142">
        <f t="shared" si="33"/>
        <v>2049</v>
      </c>
      <c r="C335" s="19">
        <f t="shared" si="34"/>
        <v>6</v>
      </c>
      <c r="D335" s="143">
        <v>54575</v>
      </c>
      <c r="E335" s="19" t="str">
        <f t="shared" si="35"/>
        <v>6-2049</v>
      </c>
      <c r="F335" s="91">
        <f>'IEPR Gas Prices Real'!F337*(INDEX('GDP Deflator'!$D$6:$D$91,MATCH('IEPR Gas Prices Nominal'!$B335,'GDP Deflator'!$B$6:$B$91,0)))</f>
        <v>8.8527977162314428</v>
      </c>
      <c r="G335" s="91">
        <f>'IEPR Gas Prices Real'!G337*(INDEX('GDP Deflator'!$D$6:$D$91,MATCH('IEPR Gas Prices Nominal'!$B335,'GDP Deflator'!$B$6:$B$91,0)))</f>
        <v>4.4614775310614823</v>
      </c>
      <c r="H335" s="91">
        <f>'IEPR Gas Prices Real'!H337*(INDEX('GDP Deflator'!$D$6:$D$91,MATCH('IEPR Gas Prices Nominal'!$B335,'GDP Deflator'!$B$6:$B$91,0)))</f>
        <v>13.314275247292924</v>
      </c>
      <c r="I335" s="91">
        <f>'IEPR Gas Prices Real'!I337*(INDEX('GDP Deflator'!$D$6:$D$91,MATCH('IEPR Gas Prices Nominal'!$B335,'GDP Deflator'!$B$6:$B$91,0)))</f>
        <v>9.276762476519389</v>
      </c>
      <c r="J335" s="91">
        <f>'IEPR Gas Prices Real'!J337*(INDEX('GDP Deflator'!$D$6:$D$91,MATCH('IEPR Gas Prices Nominal'!$B335,'GDP Deflator'!$B$6:$B$91,0)))</f>
        <v>7.3736864797161887</v>
      </c>
      <c r="K335" s="91">
        <f>'IEPR Gas Prices Real'!K337*(INDEX('GDP Deflator'!$D$6:$D$91,MATCH('IEPR Gas Prices Nominal'!$B335,'GDP Deflator'!$B$6:$B$91,0)))</f>
        <v>16.650448956235579</v>
      </c>
      <c r="L335" s="91">
        <f>'IEPR Gas Prices Real'!L337*(INDEX('GDP Deflator'!$D$6:$D$91,MATCH('IEPR Gas Prices Nominal'!$B335,'GDP Deflator'!$B$6:$B$91,0)))</f>
        <v>9.6168502567556615</v>
      </c>
      <c r="M335" s="91">
        <f>'IEPR Gas Prices Real'!M337*(INDEX('GDP Deflator'!$D$6:$D$91,MATCH('IEPR Gas Prices Nominal'!$B335,'GDP Deflator'!$B$6:$B$91,0)))</f>
        <v>3.4822535784043445</v>
      </c>
      <c r="N335" s="91">
        <f>'IEPR Gas Prices Real'!N337*(INDEX('GDP Deflator'!$D$6:$D$91,MATCH('IEPR Gas Prices Nominal'!$B335,'GDP Deflator'!$B$6:$B$91,0)))</f>
        <v>13.099103835160006</v>
      </c>
      <c r="O335" s="19"/>
      <c r="P335" s="229">
        <f t="shared" si="32"/>
        <v>9.2488034831688299</v>
      </c>
      <c r="Q335" s="229">
        <f t="shared" si="36"/>
        <v>14.354609346229504</v>
      </c>
      <c r="R335" s="144"/>
    </row>
    <row r="336" spans="2:18">
      <c r="B336" s="142">
        <f t="shared" si="33"/>
        <v>2049</v>
      </c>
      <c r="C336" s="19">
        <f t="shared" si="34"/>
        <v>7</v>
      </c>
      <c r="D336" s="143">
        <v>54605</v>
      </c>
      <c r="E336" s="19" t="str">
        <f t="shared" si="35"/>
        <v>7-2049</v>
      </c>
      <c r="F336" s="91">
        <f>'IEPR Gas Prices Real'!F338*(INDEX('GDP Deflator'!$D$6:$D$91,MATCH('IEPR Gas Prices Nominal'!$B336,'GDP Deflator'!$B$6:$B$91,0)))</f>
        <v>8.9230917012829547</v>
      </c>
      <c r="G336" s="91">
        <f>'IEPR Gas Prices Real'!G338*(INDEX('GDP Deflator'!$D$6:$D$91,MATCH('IEPR Gas Prices Nominal'!$B336,'GDP Deflator'!$B$6:$B$91,0)))</f>
        <v>4.4614775310614823</v>
      </c>
      <c r="H336" s="91">
        <f>'IEPR Gas Prices Real'!H338*(INDEX('GDP Deflator'!$D$6:$D$91,MATCH('IEPR Gas Prices Nominal'!$B336,'GDP Deflator'!$B$6:$B$91,0)))</f>
        <v>13.384569232344438</v>
      </c>
      <c r="I336" s="91">
        <f>'IEPR Gas Prices Real'!I338*(INDEX('GDP Deflator'!$D$6:$D$91,MATCH('IEPR Gas Prices Nominal'!$B336,'GDP Deflator'!$B$6:$B$91,0)))</f>
        <v>9.3502713616897211</v>
      </c>
      <c r="J336" s="91">
        <f>'IEPR Gas Prices Real'!J338*(INDEX('GDP Deflator'!$D$6:$D$91,MATCH('IEPR Gas Prices Nominal'!$B336,'GDP Deflator'!$B$6:$B$91,0)))</f>
        <v>7.3736864797161887</v>
      </c>
      <c r="K336" s="91">
        <f>'IEPR Gas Prices Real'!K338*(INDEX('GDP Deflator'!$D$6:$D$91,MATCH('IEPR Gas Prices Nominal'!$B336,'GDP Deflator'!$B$6:$B$91,0)))</f>
        <v>16.723957841405912</v>
      </c>
      <c r="L336" s="91">
        <f>'IEPR Gas Prices Real'!L338*(INDEX('GDP Deflator'!$D$6:$D$91,MATCH('IEPR Gas Prices Nominal'!$B336,'GDP Deflator'!$B$6:$B$91,0)))</f>
        <v>9.6930588517254854</v>
      </c>
      <c r="M336" s="91">
        <f>'IEPR Gas Prices Real'!M338*(INDEX('GDP Deflator'!$D$6:$D$91,MATCH('IEPR Gas Prices Nominal'!$B336,'GDP Deflator'!$B$6:$B$91,0)))</f>
        <v>3.4822535784043445</v>
      </c>
      <c r="N336" s="91">
        <f>'IEPR Gas Prices Real'!N338*(INDEX('GDP Deflator'!$D$6:$D$91,MATCH('IEPR Gas Prices Nominal'!$B336,'GDP Deflator'!$B$6:$B$91,0)))</f>
        <v>13.17531243012983</v>
      </c>
      <c r="O336" s="19"/>
      <c r="P336" s="229">
        <f t="shared" si="32"/>
        <v>9.322140638232721</v>
      </c>
      <c r="Q336" s="229">
        <f t="shared" si="36"/>
        <v>14.427946501293393</v>
      </c>
      <c r="R336" s="144"/>
    </row>
    <row r="337" spans="2:18">
      <c r="B337" s="142">
        <f t="shared" si="33"/>
        <v>2049</v>
      </c>
      <c r="C337" s="19">
        <f t="shared" si="34"/>
        <v>8</v>
      </c>
      <c r="D337" s="143">
        <v>54636</v>
      </c>
      <c r="E337" s="19" t="str">
        <f t="shared" si="35"/>
        <v>8-2049</v>
      </c>
      <c r="F337" s="91">
        <f>'IEPR Gas Prices Real'!F339*(INDEX('GDP Deflator'!$D$6:$D$91,MATCH('IEPR Gas Prices Nominal'!$B337,'GDP Deflator'!$B$6:$B$91,0)))</f>
        <v>8.8542295023395976</v>
      </c>
      <c r="G337" s="91">
        <f>'IEPR Gas Prices Real'!G339*(INDEX('GDP Deflator'!$D$6:$D$91,MATCH('IEPR Gas Prices Nominal'!$B337,'GDP Deflator'!$B$6:$B$91,0)))</f>
        <v>4.4614775310614823</v>
      </c>
      <c r="H337" s="91">
        <f>'IEPR Gas Prices Real'!H339*(INDEX('GDP Deflator'!$D$6:$D$91,MATCH('IEPR Gas Prices Nominal'!$B337,'GDP Deflator'!$B$6:$B$91,0)))</f>
        <v>13.315707033401081</v>
      </c>
      <c r="I337" s="91">
        <f>'IEPR Gas Prices Real'!I339*(INDEX('GDP Deflator'!$D$6:$D$91,MATCH('IEPR Gas Prices Nominal'!$B337,'GDP Deflator'!$B$6:$B$91,0)))</f>
        <v>9.2779621340016618</v>
      </c>
      <c r="J337" s="91">
        <f>'IEPR Gas Prices Real'!J339*(INDEX('GDP Deflator'!$D$6:$D$91,MATCH('IEPR Gas Prices Nominal'!$B337,'GDP Deflator'!$B$6:$B$91,0)))</f>
        <v>7.3736864797161887</v>
      </c>
      <c r="K337" s="91">
        <f>'IEPR Gas Prices Real'!K339*(INDEX('GDP Deflator'!$D$6:$D$91,MATCH('IEPR Gas Prices Nominal'!$B337,'GDP Deflator'!$B$6:$B$91,0)))</f>
        <v>16.65164861371785</v>
      </c>
      <c r="L337" s="91">
        <f>'IEPR Gas Prices Real'!L339*(INDEX('GDP Deflator'!$D$6:$D$91,MATCH('IEPR Gas Prices Nominal'!$B337,'GDP Deflator'!$B$6:$B$91,0)))</f>
        <v>9.6181035409151345</v>
      </c>
      <c r="M337" s="91">
        <f>'IEPR Gas Prices Real'!M339*(INDEX('GDP Deflator'!$D$6:$D$91,MATCH('IEPR Gas Prices Nominal'!$B337,'GDP Deflator'!$B$6:$B$91,0)))</f>
        <v>3.4822535784043445</v>
      </c>
      <c r="N337" s="91">
        <f>'IEPR Gas Prices Real'!N339*(INDEX('GDP Deflator'!$D$6:$D$91,MATCH('IEPR Gas Prices Nominal'!$B337,'GDP Deflator'!$B$6:$B$91,0)))</f>
        <v>13.100357119319479</v>
      </c>
      <c r="O337" s="19"/>
      <c r="P337" s="229">
        <f t="shared" si="32"/>
        <v>9.2500983924187992</v>
      </c>
      <c r="Q337" s="229">
        <f t="shared" si="36"/>
        <v>14.355904255479468</v>
      </c>
      <c r="R337" s="144"/>
    </row>
    <row r="338" spans="2:18">
      <c r="B338" s="142">
        <f t="shared" si="33"/>
        <v>2049</v>
      </c>
      <c r="C338" s="19">
        <f t="shared" si="34"/>
        <v>9</v>
      </c>
      <c r="D338" s="143">
        <v>54667</v>
      </c>
      <c r="E338" s="19" t="str">
        <f t="shared" si="35"/>
        <v>9-2049</v>
      </c>
      <c r="F338" s="91">
        <f>'IEPR Gas Prices Real'!F340*(INDEX('GDP Deflator'!$D$6:$D$91,MATCH('IEPR Gas Prices Nominal'!$B338,'GDP Deflator'!$B$6:$B$91,0)))</f>
        <v>8.9788334457632732</v>
      </c>
      <c r="G338" s="91">
        <f>'IEPR Gas Prices Real'!G340*(INDEX('GDP Deflator'!$D$6:$D$91,MATCH('IEPR Gas Prices Nominal'!$B338,'GDP Deflator'!$B$6:$B$91,0)))</f>
        <v>4.4614775310614823</v>
      </c>
      <c r="H338" s="91">
        <f>'IEPR Gas Prices Real'!H340*(INDEX('GDP Deflator'!$D$6:$D$91,MATCH('IEPR Gas Prices Nominal'!$B338,'GDP Deflator'!$B$6:$B$91,0)))</f>
        <v>13.440310976824756</v>
      </c>
      <c r="I338" s="91">
        <f>'IEPR Gas Prices Real'!I340*(INDEX('GDP Deflator'!$D$6:$D$91,MATCH('IEPR Gas Prices Nominal'!$B338,'GDP Deflator'!$B$6:$B$91,0)))</f>
        <v>9.4083767082238765</v>
      </c>
      <c r="J338" s="91">
        <f>'IEPR Gas Prices Real'!J340*(INDEX('GDP Deflator'!$D$6:$D$91,MATCH('IEPR Gas Prices Nominal'!$B338,'GDP Deflator'!$B$6:$B$91,0)))</f>
        <v>7.3736864797161887</v>
      </c>
      <c r="K338" s="91">
        <f>'IEPR Gas Prices Real'!K340*(INDEX('GDP Deflator'!$D$6:$D$91,MATCH('IEPR Gas Prices Nominal'!$B338,'GDP Deflator'!$B$6:$B$91,0)))</f>
        <v>16.782063187940064</v>
      </c>
      <c r="L338" s="91">
        <f>'IEPR Gas Prices Real'!L340*(INDEX('GDP Deflator'!$D$6:$D$91,MATCH('IEPR Gas Prices Nominal'!$B338,'GDP Deflator'!$B$6:$B$91,0)))</f>
        <v>9.7533041645384699</v>
      </c>
      <c r="M338" s="91">
        <f>'IEPR Gas Prices Real'!M340*(INDEX('GDP Deflator'!$D$6:$D$91,MATCH('IEPR Gas Prices Nominal'!$B338,'GDP Deflator'!$B$6:$B$91,0)))</f>
        <v>3.4822535784043445</v>
      </c>
      <c r="N338" s="91">
        <f>'IEPR Gas Prices Real'!N340*(INDEX('GDP Deflator'!$D$6:$D$91,MATCH('IEPR Gas Prices Nominal'!$B338,'GDP Deflator'!$B$6:$B$91,0)))</f>
        <v>13.235557742942815</v>
      </c>
      <c r="O338" s="19"/>
      <c r="P338" s="229">
        <f t="shared" si="32"/>
        <v>9.3801714395085387</v>
      </c>
      <c r="Q338" s="229">
        <f t="shared" si="36"/>
        <v>14.485977302569212</v>
      </c>
      <c r="R338" s="144"/>
    </row>
    <row r="339" spans="2:18">
      <c r="B339" s="142">
        <f t="shared" si="33"/>
        <v>2049</v>
      </c>
      <c r="C339" s="19">
        <f t="shared" si="34"/>
        <v>10</v>
      </c>
      <c r="D339" s="143">
        <v>54697</v>
      </c>
      <c r="E339" s="19" t="str">
        <f t="shared" si="35"/>
        <v>10-2049</v>
      </c>
      <c r="F339" s="91">
        <f>'IEPR Gas Prices Real'!F341*(INDEX('GDP Deflator'!$D$6:$D$91,MATCH('IEPR Gas Prices Nominal'!$B339,'GDP Deflator'!$B$6:$B$91,0)))</f>
        <v>8.9271539795088692</v>
      </c>
      <c r="G339" s="91">
        <f>'IEPR Gas Prices Real'!G341*(INDEX('GDP Deflator'!$D$6:$D$91,MATCH('IEPR Gas Prices Nominal'!$B339,'GDP Deflator'!$B$6:$B$91,0)))</f>
        <v>4.4614775310614823</v>
      </c>
      <c r="H339" s="91">
        <f>'IEPR Gas Prices Real'!H341*(INDEX('GDP Deflator'!$D$6:$D$91,MATCH('IEPR Gas Prices Nominal'!$B339,'GDP Deflator'!$B$6:$B$91,0)))</f>
        <v>13.388631510570351</v>
      </c>
      <c r="I339" s="91">
        <f>'IEPR Gas Prices Real'!I341*(INDEX('GDP Deflator'!$D$6:$D$91,MATCH('IEPR Gas Prices Nominal'!$B339,'GDP Deflator'!$B$6:$B$91,0)))</f>
        <v>9.3540733065050485</v>
      </c>
      <c r="J339" s="91">
        <f>'IEPR Gas Prices Real'!J341*(INDEX('GDP Deflator'!$D$6:$D$91,MATCH('IEPR Gas Prices Nominal'!$B339,'GDP Deflator'!$B$6:$B$91,0)))</f>
        <v>7.3736864797161887</v>
      </c>
      <c r="K339" s="91">
        <f>'IEPR Gas Prices Real'!K341*(INDEX('GDP Deflator'!$D$6:$D$91,MATCH('IEPR Gas Prices Nominal'!$B339,'GDP Deflator'!$B$6:$B$91,0)))</f>
        <v>16.727759786221235</v>
      </c>
      <c r="L339" s="91">
        <f>'IEPR Gas Prices Real'!L341*(INDEX('GDP Deflator'!$D$6:$D$91,MATCH('IEPR Gas Prices Nominal'!$B339,'GDP Deflator'!$B$6:$B$91,0)))</f>
        <v>9.6970147699727729</v>
      </c>
      <c r="M339" s="91">
        <f>'IEPR Gas Prices Real'!M341*(INDEX('GDP Deflator'!$D$6:$D$91,MATCH('IEPR Gas Prices Nominal'!$B339,'GDP Deflator'!$B$6:$B$91,0)))</f>
        <v>3.4822535784043445</v>
      </c>
      <c r="N339" s="91">
        <f>'IEPR Gas Prices Real'!N341*(INDEX('GDP Deflator'!$D$6:$D$91,MATCH('IEPR Gas Prices Nominal'!$B339,'GDP Deflator'!$B$6:$B$91,0)))</f>
        <v>13.179268348377116</v>
      </c>
      <c r="O339" s="19"/>
      <c r="P339" s="229">
        <f t="shared" si="32"/>
        <v>9.3260806853288969</v>
      </c>
      <c r="Q339" s="229">
        <f t="shared" si="36"/>
        <v>14.431886548389565</v>
      </c>
      <c r="R339" s="144"/>
    </row>
    <row r="340" spans="2:18">
      <c r="B340" s="142">
        <f t="shared" si="33"/>
        <v>2049</v>
      </c>
      <c r="C340" s="19">
        <f t="shared" si="34"/>
        <v>11</v>
      </c>
      <c r="D340" s="143">
        <v>54728</v>
      </c>
      <c r="E340" s="19" t="str">
        <f t="shared" si="35"/>
        <v>11-2049</v>
      </c>
      <c r="F340" s="91">
        <f>'IEPR Gas Prices Real'!F342*(INDEX('GDP Deflator'!$D$6:$D$91,MATCH('IEPR Gas Prices Nominal'!$B340,'GDP Deflator'!$B$6:$B$91,0)))</f>
        <v>9.3684591702964788</v>
      </c>
      <c r="G340" s="91">
        <f>'IEPR Gas Prices Real'!G342*(INDEX('GDP Deflator'!$D$6:$D$91,MATCH('IEPR Gas Prices Nominal'!$B340,'GDP Deflator'!$B$6:$B$91,0)))</f>
        <v>4.4614775310614823</v>
      </c>
      <c r="H340" s="91">
        <f>'IEPR Gas Prices Real'!H342*(INDEX('GDP Deflator'!$D$6:$D$91,MATCH('IEPR Gas Prices Nominal'!$B340,'GDP Deflator'!$B$6:$B$91,0)))</f>
        <v>13.82993670135796</v>
      </c>
      <c r="I340" s="91">
        <f>'IEPR Gas Prices Real'!I342*(INDEX('GDP Deflator'!$D$6:$D$91,MATCH('IEPR Gas Prices Nominal'!$B340,'GDP Deflator'!$B$6:$B$91,0)))</f>
        <v>9.8163237202202946</v>
      </c>
      <c r="J340" s="91">
        <f>'IEPR Gas Prices Real'!J342*(INDEX('GDP Deflator'!$D$6:$D$91,MATCH('IEPR Gas Prices Nominal'!$B340,'GDP Deflator'!$B$6:$B$91,0)))</f>
        <v>7.3736864797161887</v>
      </c>
      <c r="K340" s="91">
        <f>'IEPR Gas Prices Real'!K342*(INDEX('GDP Deflator'!$D$6:$D$91,MATCH('IEPR Gas Prices Nominal'!$B340,'GDP Deflator'!$B$6:$B$91,0)))</f>
        <v>17.190010199936484</v>
      </c>
      <c r="L340" s="91">
        <f>'IEPR Gas Prices Real'!L342*(INDEX('GDP Deflator'!$D$6:$D$91,MATCH('IEPR Gas Prices Nominal'!$B340,'GDP Deflator'!$B$6:$B$91,0)))</f>
        <v>10.176217433560995</v>
      </c>
      <c r="M340" s="91">
        <f>'IEPR Gas Prices Real'!M342*(INDEX('GDP Deflator'!$D$6:$D$91,MATCH('IEPR Gas Prices Nominal'!$B340,'GDP Deflator'!$B$6:$B$91,0)))</f>
        <v>3.4822535784043445</v>
      </c>
      <c r="N340" s="91">
        <f>'IEPR Gas Prices Real'!N342*(INDEX('GDP Deflator'!$D$6:$D$91,MATCH('IEPR Gas Prices Nominal'!$B340,'GDP Deflator'!$B$6:$B$91,0)))</f>
        <v>13.658471011965338</v>
      </c>
      <c r="O340" s="19"/>
      <c r="P340" s="229">
        <f t="shared" si="32"/>
        <v>9.7870001080259215</v>
      </c>
      <c r="Q340" s="229">
        <f t="shared" si="36"/>
        <v>14.892805971086595</v>
      </c>
      <c r="R340" s="144"/>
    </row>
    <row r="341" spans="2:18">
      <c r="B341" s="142">
        <f t="shared" si="33"/>
        <v>2049</v>
      </c>
      <c r="C341" s="19">
        <f t="shared" si="34"/>
        <v>12</v>
      </c>
      <c r="D341" s="143">
        <v>54758</v>
      </c>
      <c r="E341" s="19" t="str">
        <f t="shared" si="35"/>
        <v>12-2049</v>
      </c>
      <c r="F341" s="91">
        <f>'IEPR Gas Prices Real'!F343*(INDEX('GDP Deflator'!$D$6:$D$91,MATCH('IEPR Gas Prices Nominal'!$B341,'GDP Deflator'!$B$6:$B$91,0)))</f>
        <v>9.4438787962440927</v>
      </c>
      <c r="G341" s="91">
        <f>'IEPR Gas Prices Real'!G343*(INDEX('GDP Deflator'!$D$6:$D$91,MATCH('IEPR Gas Prices Nominal'!$B341,'GDP Deflator'!$B$6:$B$91,0)))</f>
        <v>4.4614775310614823</v>
      </c>
      <c r="H341" s="91">
        <f>'IEPR Gas Prices Real'!H343*(INDEX('GDP Deflator'!$D$6:$D$91,MATCH('IEPR Gas Prices Nominal'!$B341,'GDP Deflator'!$B$6:$B$91,0)))</f>
        <v>13.905356327305574</v>
      </c>
      <c r="I341" s="91">
        <f>'IEPR Gas Prices Real'!I343*(INDEX('GDP Deflator'!$D$6:$D$91,MATCH('IEPR Gas Prices Nominal'!$B341,'GDP Deflator'!$B$6:$B$91,0)))</f>
        <v>9.8951884127782552</v>
      </c>
      <c r="J341" s="91">
        <f>'IEPR Gas Prices Real'!J343*(INDEX('GDP Deflator'!$D$6:$D$91,MATCH('IEPR Gas Prices Nominal'!$B341,'GDP Deflator'!$B$6:$B$91,0)))</f>
        <v>7.3736864797161887</v>
      </c>
      <c r="K341" s="91">
        <f>'IEPR Gas Prices Real'!K343*(INDEX('GDP Deflator'!$D$6:$D$91,MATCH('IEPR Gas Prices Nominal'!$B341,'GDP Deflator'!$B$6:$B$91,0)))</f>
        <v>17.268874892494441</v>
      </c>
      <c r="L341" s="91">
        <f>'IEPR Gas Prices Real'!L343*(INDEX('GDP Deflator'!$D$6:$D$91,MATCH('IEPR Gas Prices Nominal'!$B341,'GDP Deflator'!$B$6:$B$91,0)))</f>
        <v>10.257978671730706</v>
      </c>
      <c r="M341" s="91">
        <f>'IEPR Gas Prices Real'!M343*(INDEX('GDP Deflator'!$D$6:$D$91,MATCH('IEPR Gas Prices Nominal'!$B341,'GDP Deflator'!$B$6:$B$91,0)))</f>
        <v>3.4822535784043445</v>
      </c>
      <c r="N341" s="91">
        <f>'IEPR Gas Prices Real'!N343*(INDEX('GDP Deflator'!$D$6:$D$91,MATCH('IEPR Gas Prices Nominal'!$B341,'GDP Deflator'!$B$6:$B$91,0)))</f>
        <v>13.740232250135051</v>
      </c>
      <c r="O341" s="19"/>
      <c r="P341" s="229">
        <f t="shared" si="32"/>
        <v>9.8656819602510168</v>
      </c>
      <c r="Q341" s="229">
        <f t="shared" si="36"/>
        <v>14.971487823311689</v>
      </c>
      <c r="R341" s="144"/>
    </row>
    <row r="342" spans="2:18">
      <c r="B342" s="142">
        <f t="shared" si="33"/>
        <v>2050</v>
      </c>
      <c r="C342" s="19">
        <f t="shared" si="34"/>
        <v>1</v>
      </c>
      <c r="D342" s="143">
        <v>54789</v>
      </c>
      <c r="E342" s="19" t="str">
        <f t="shared" si="35"/>
        <v>1-2050</v>
      </c>
      <c r="F342" s="91">
        <f>'IEPR Gas Prices Real'!F344*(INDEX('GDP Deflator'!$D$6:$D$91,MATCH('IEPR Gas Prices Nominal'!$B342,'GDP Deflator'!$B$6:$B$91,0)))</f>
        <v>9.6586739615946211</v>
      </c>
      <c r="G342" s="91">
        <f>'IEPR Gas Prices Real'!G344*(INDEX('GDP Deflator'!$D$6:$D$91,MATCH('IEPR Gas Prices Nominal'!$B342,'GDP Deflator'!$B$6:$B$91,0)))</f>
        <v>4.7445396247938501</v>
      </c>
      <c r="H342" s="91">
        <f>'IEPR Gas Prices Real'!H344*(INDEX('GDP Deflator'!$D$6:$D$91,MATCH('IEPR Gas Prices Nominal'!$B342,'GDP Deflator'!$B$6:$B$91,0)))</f>
        <v>14.403213586388471</v>
      </c>
      <c r="I342" s="91">
        <f>'IEPR Gas Prices Real'!I344*(INDEX('GDP Deflator'!$D$6:$D$91,MATCH('IEPR Gas Prices Nominal'!$B342,'GDP Deflator'!$B$6:$B$91,0)))</f>
        <v>10.120089548793301</v>
      </c>
      <c r="J342" s="91">
        <f>'IEPR Gas Prices Real'!J344*(INDEX('GDP Deflator'!$D$6:$D$91,MATCH('IEPR Gas Prices Nominal'!$B342,'GDP Deflator'!$B$6:$B$91,0)))</f>
        <v>7.8425350514411578</v>
      </c>
      <c r="K342" s="91">
        <f>'IEPR Gas Prices Real'!K344*(INDEX('GDP Deflator'!$D$6:$D$91,MATCH('IEPR Gas Prices Nominal'!$B342,'GDP Deflator'!$B$6:$B$91,0)))</f>
        <v>17.962624600234456</v>
      </c>
      <c r="L342" s="91">
        <f>'IEPR Gas Prices Real'!L344*(INDEX('GDP Deflator'!$D$6:$D$91,MATCH('IEPR Gas Prices Nominal'!$B342,'GDP Deflator'!$B$6:$B$91,0)))</f>
        <v>10.491130089833995</v>
      </c>
      <c r="M342" s="91">
        <f>'IEPR Gas Prices Real'!M344*(INDEX('GDP Deflator'!$D$6:$D$91,MATCH('IEPR Gas Prices Nominal'!$B342,'GDP Deflator'!$B$6:$B$91,0)))</f>
        <v>3.7036692327192107</v>
      </c>
      <c r="N342" s="91">
        <f>'IEPR Gas Prices Real'!N344*(INDEX('GDP Deflator'!$D$6:$D$91,MATCH('IEPR Gas Prices Nominal'!$B342,'GDP Deflator'!$B$6:$B$91,0)))</f>
        <v>14.194799322553205</v>
      </c>
      <c r="O342" s="19"/>
      <c r="P342" s="229">
        <f t="shared" si="32"/>
        <v>10.089964533407306</v>
      </c>
      <c r="Q342" s="229">
        <f t="shared" si="36"/>
        <v>15.52021250305871</v>
      </c>
      <c r="R342" s="144"/>
    </row>
    <row r="343" spans="2:18">
      <c r="B343" s="142">
        <f t="shared" si="33"/>
        <v>2050</v>
      </c>
      <c r="C343" s="19">
        <f t="shared" si="34"/>
        <v>2</v>
      </c>
      <c r="D343" s="143">
        <v>54820</v>
      </c>
      <c r="E343" s="19" t="str">
        <f t="shared" si="35"/>
        <v>2-2050</v>
      </c>
      <c r="F343" s="91">
        <f>'IEPR Gas Prices Real'!F345*(INDEX('GDP Deflator'!$D$6:$D$91,MATCH('IEPR Gas Prices Nominal'!$B343,'GDP Deflator'!$B$6:$B$91,0)))</f>
        <v>9.4469783049021938</v>
      </c>
      <c r="G343" s="91">
        <f>'IEPR Gas Prices Real'!G345*(INDEX('GDP Deflator'!$D$6:$D$91,MATCH('IEPR Gas Prices Nominal'!$B343,'GDP Deflator'!$B$6:$B$91,0)))</f>
        <v>4.7445396247938501</v>
      </c>
      <c r="H343" s="91">
        <f>'IEPR Gas Prices Real'!H345*(INDEX('GDP Deflator'!$D$6:$D$91,MATCH('IEPR Gas Prices Nominal'!$B343,'GDP Deflator'!$B$6:$B$91,0)))</f>
        <v>14.191517929696044</v>
      </c>
      <c r="I343" s="91">
        <f>'IEPR Gas Prices Real'!I345*(INDEX('GDP Deflator'!$D$6:$D$91,MATCH('IEPR Gas Prices Nominal'!$B343,'GDP Deflator'!$B$6:$B$91,0)))</f>
        <v>9.8981254191917056</v>
      </c>
      <c r="J343" s="91">
        <f>'IEPR Gas Prices Real'!J345*(INDEX('GDP Deflator'!$D$6:$D$91,MATCH('IEPR Gas Prices Nominal'!$B343,'GDP Deflator'!$B$6:$B$91,0)))</f>
        <v>7.8425350514411578</v>
      </c>
      <c r="K343" s="91">
        <f>'IEPR Gas Prices Real'!K345*(INDEX('GDP Deflator'!$D$6:$D$91,MATCH('IEPR Gas Prices Nominal'!$B343,'GDP Deflator'!$B$6:$B$91,0)))</f>
        <v>17.740660470632861</v>
      </c>
      <c r="L343" s="91">
        <f>'IEPR Gas Prices Real'!L345*(INDEX('GDP Deflator'!$D$6:$D$91,MATCH('IEPR Gas Prices Nominal'!$B343,'GDP Deflator'!$B$6:$B$91,0)))</f>
        <v>10.261032482984502</v>
      </c>
      <c r="M343" s="91">
        <f>'IEPR Gas Prices Real'!M345*(INDEX('GDP Deflator'!$D$6:$D$91,MATCH('IEPR Gas Prices Nominal'!$B343,'GDP Deflator'!$B$6:$B$91,0)))</f>
        <v>3.7036692327192107</v>
      </c>
      <c r="N343" s="91">
        <f>'IEPR Gas Prices Real'!N345*(INDEX('GDP Deflator'!$D$6:$D$91,MATCH('IEPR Gas Prices Nominal'!$B343,'GDP Deflator'!$B$6:$B$91,0)))</f>
        <v>13.964701715703713</v>
      </c>
      <c r="O343" s="19"/>
      <c r="P343" s="229">
        <f t="shared" si="32"/>
        <v>9.8687120690261327</v>
      </c>
      <c r="Q343" s="229">
        <f t="shared" si="36"/>
        <v>15.29896003867754</v>
      </c>
      <c r="R343" s="144"/>
    </row>
    <row r="344" spans="2:18">
      <c r="B344" s="142">
        <f t="shared" si="33"/>
        <v>2050</v>
      </c>
      <c r="C344" s="19">
        <f t="shared" si="34"/>
        <v>3</v>
      </c>
      <c r="D344" s="143">
        <v>54848</v>
      </c>
      <c r="E344" s="19" t="str">
        <f t="shared" si="35"/>
        <v>3-2050</v>
      </c>
      <c r="F344" s="91">
        <f>'IEPR Gas Prices Real'!F346*(INDEX('GDP Deflator'!$D$6:$D$91,MATCH('IEPR Gas Prices Nominal'!$B344,'GDP Deflator'!$B$6:$B$91,0)))</f>
        <v>8.6724160480970145</v>
      </c>
      <c r="G344" s="91">
        <f>'IEPR Gas Prices Real'!G346*(INDEX('GDP Deflator'!$D$6:$D$91,MATCH('IEPR Gas Prices Nominal'!$B344,'GDP Deflator'!$B$6:$B$91,0)))</f>
        <v>4.7445396247938501</v>
      </c>
      <c r="H344" s="91">
        <f>'IEPR Gas Prices Real'!H346*(INDEX('GDP Deflator'!$D$6:$D$91,MATCH('IEPR Gas Prices Nominal'!$B344,'GDP Deflator'!$B$6:$B$91,0)))</f>
        <v>13.416955672890865</v>
      </c>
      <c r="I344" s="91">
        <f>'IEPR Gas Prices Real'!I346*(INDEX('GDP Deflator'!$D$6:$D$91,MATCH('IEPR Gas Prices Nominal'!$B344,'GDP Deflator'!$B$6:$B$91,0)))</f>
        <v>9.0864308031104084</v>
      </c>
      <c r="J344" s="91">
        <f>'IEPR Gas Prices Real'!J346*(INDEX('GDP Deflator'!$D$6:$D$91,MATCH('IEPR Gas Prices Nominal'!$B344,'GDP Deflator'!$B$6:$B$91,0)))</f>
        <v>7.8425350514411578</v>
      </c>
      <c r="K344" s="91">
        <f>'IEPR Gas Prices Real'!K346*(INDEX('GDP Deflator'!$D$6:$D$91,MATCH('IEPR Gas Prices Nominal'!$B344,'GDP Deflator'!$B$6:$B$91,0)))</f>
        <v>16.928965854551567</v>
      </c>
      <c r="L344" s="91">
        <f>'IEPR Gas Prices Real'!L346*(INDEX('GDP Deflator'!$D$6:$D$91,MATCH('IEPR Gas Prices Nominal'!$B344,'GDP Deflator'!$B$6:$B$91,0)))</f>
        <v>9.4195819043740947</v>
      </c>
      <c r="M344" s="91">
        <f>'IEPR Gas Prices Real'!M346*(INDEX('GDP Deflator'!$D$6:$D$91,MATCH('IEPR Gas Prices Nominal'!$B344,'GDP Deflator'!$B$6:$B$91,0)))</f>
        <v>3.7036692327192107</v>
      </c>
      <c r="N344" s="91">
        <f>'IEPR Gas Prices Real'!N346*(INDEX('GDP Deflator'!$D$6:$D$91,MATCH('IEPR Gas Prices Nominal'!$B344,'GDP Deflator'!$B$6:$B$91,0)))</f>
        <v>13.123251137093305</v>
      </c>
      <c r="O344" s="19"/>
      <c r="P344" s="229">
        <f t="shared" si="32"/>
        <v>9.0594762518605059</v>
      </c>
      <c r="Q344" s="229">
        <f t="shared" si="36"/>
        <v>14.489724221511912</v>
      </c>
      <c r="R344" s="144"/>
    </row>
    <row r="345" spans="2:18">
      <c r="B345" s="142">
        <f t="shared" si="33"/>
        <v>2050</v>
      </c>
      <c r="C345" s="19">
        <f t="shared" si="34"/>
        <v>4</v>
      </c>
      <c r="D345" s="143">
        <v>54879</v>
      </c>
      <c r="E345" s="19" t="str">
        <f t="shared" si="35"/>
        <v>4-2050</v>
      </c>
      <c r="F345" s="91">
        <f>'IEPR Gas Prices Real'!F347*(INDEX('GDP Deflator'!$D$6:$D$91,MATCH('IEPR Gas Prices Nominal'!$B345,'GDP Deflator'!$B$6:$B$91,0)))</f>
        <v>8.5249146181202775</v>
      </c>
      <c r="G345" s="91">
        <f>'IEPR Gas Prices Real'!G347*(INDEX('GDP Deflator'!$D$6:$D$91,MATCH('IEPR Gas Prices Nominal'!$B345,'GDP Deflator'!$B$6:$B$91,0)))</f>
        <v>4.7445396247938501</v>
      </c>
      <c r="H345" s="91">
        <f>'IEPR Gas Prices Real'!H347*(INDEX('GDP Deflator'!$D$6:$D$91,MATCH('IEPR Gas Prices Nominal'!$B345,'GDP Deflator'!$B$6:$B$91,0)))</f>
        <v>13.269454242914128</v>
      </c>
      <c r="I345" s="91">
        <f>'IEPR Gas Prices Real'!I347*(INDEX('GDP Deflator'!$D$6:$D$91,MATCH('IEPR Gas Prices Nominal'!$B345,'GDP Deflator'!$B$6:$B$91,0)))</f>
        <v>8.9317475869487044</v>
      </c>
      <c r="J345" s="91">
        <f>'IEPR Gas Prices Real'!J347*(INDEX('GDP Deflator'!$D$6:$D$91,MATCH('IEPR Gas Prices Nominal'!$B345,'GDP Deflator'!$B$6:$B$91,0)))</f>
        <v>7.8425350514411578</v>
      </c>
      <c r="K345" s="91">
        <f>'IEPR Gas Prices Real'!K347*(INDEX('GDP Deflator'!$D$6:$D$91,MATCH('IEPR Gas Prices Nominal'!$B345,'GDP Deflator'!$B$6:$B$91,0)))</f>
        <v>16.774282638389863</v>
      </c>
      <c r="L345" s="91">
        <f>'IEPR Gas Prices Real'!L347*(INDEX('GDP Deflator'!$D$6:$D$91,MATCH('IEPR Gas Prices Nominal'!$B345,'GDP Deflator'!$B$6:$B$91,0)))</f>
        <v>9.2592313950392882</v>
      </c>
      <c r="M345" s="91">
        <f>'IEPR Gas Prices Real'!M347*(INDEX('GDP Deflator'!$D$6:$D$91,MATCH('IEPR Gas Prices Nominal'!$B345,'GDP Deflator'!$B$6:$B$91,0)))</f>
        <v>3.7036692327192107</v>
      </c>
      <c r="N345" s="91">
        <f>'IEPR Gas Prices Real'!N347*(INDEX('GDP Deflator'!$D$6:$D$91,MATCH('IEPR Gas Prices Nominal'!$B345,'GDP Deflator'!$B$6:$B$91,0)))</f>
        <v>12.962900627758499</v>
      </c>
      <c r="O345" s="19"/>
      <c r="P345" s="229">
        <f t="shared" si="32"/>
        <v>8.9052978667027549</v>
      </c>
      <c r="Q345" s="229">
        <f t="shared" si="36"/>
        <v>14.335545836354164</v>
      </c>
      <c r="R345" s="144"/>
    </row>
    <row r="346" spans="2:18">
      <c r="B346" s="142">
        <f t="shared" si="33"/>
        <v>2050</v>
      </c>
      <c r="C346" s="19">
        <f t="shared" si="34"/>
        <v>5</v>
      </c>
      <c r="D346" s="143">
        <v>54909</v>
      </c>
      <c r="E346" s="19" t="str">
        <f t="shared" si="35"/>
        <v>5-2050</v>
      </c>
      <c r="F346" s="91">
        <f>'IEPR Gas Prices Real'!F348*(INDEX('GDP Deflator'!$D$6:$D$91,MATCH('IEPR Gas Prices Nominal'!$B346,'GDP Deflator'!$B$6:$B$91,0)))</f>
        <v>8.8216726635102098</v>
      </c>
      <c r="G346" s="91">
        <f>'IEPR Gas Prices Real'!G348*(INDEX('GDP Deflator'!$D$6:$D$91,MATCH('IEPR Gas Prices Nominal'!$B346,'GDP Deflator'!$B$6:$B$91,0)))</f>
        <v>4.7445396247938501</v>
      </c>
      <c r="H346" s="91">
        <f>'IEPR Gas Prices Real'!H348*(INDEX('GDP Deflator'!$D$6:$D$91,MATCH('IEPR Gas Prices Nominal'!$B346,'GDP Deflator'!$B$6:$B$91,0)))</f>
        <v>13.566212288304058</v>
      </c>
      <c r="I346" s="91">
        <f>'IEPR Gas Prices Real'!I348*(INDEX('GDP Deflator'!$D$6:$D$91,MATCH('IEPR Gas Prices Nominal'!$B346,'GDP Deflator'!$B$6:$B$91,0)))</f>
        <v>9.2425226971340422</v>
      </c>
      <c r="J346" s="91">
        <f>'IEPR Gas Prices Real'!J348*(INDEX('GDP Deflator'!$D$6:$D$91,MATCH('IEPR Gas Prices Nominal'!$B346,'GDP Deflator'!$B$6:$B$91,0)))</f>
        <v>7.8425350514411578</v>
      </c>
      <c r="K346" s="91">
        <f>'IEPR Gas Prices Real'!K348*(INDEX('GDP Deflator'!$D$6:$D$91,MATCH('IEPR Gas Prices Nominal'!$B346,'GDP Deflator'!$B$6:$B$91,0)))</f>
        <v>17.085057748575203</v>
      </c>
      <c r="L346" s="91">
        <f>'IEPR Gas Prices Real'!L348*(INDEX('GDP Deflator'!$D$6:$D$91,MATCH('IEPR Gas Prices Nominal'!$B346,'GDP Deflator'!$B$6:$B$91,0)))</f>
        <v>9.5814053808265811</v>
      </c>
      <c r="M346" s="91">
        <f>'IEPR Gas Prices Real'!M348*(INDEX('GDP Deflator'!$D$6:$D$91,MATCH('IEPR Gas Prices Nominal'!$B346,'GDP Deflator'!$B$6:$B$91,0)))</f>
        <v>3.7036692327192107</v>
      </c>
      <c r="N346" s="91">
        <f>'IEPR Gas Prices Real'!N348*(INDEX('GDP Deflator'!$D$6:$D$91,MATCH('IEPR Gas Prices Nominal'!$B346,'GDP Deflator'!$B$6:$B$91,0)))</f>
        <v>13.285074613545792</v>
      </c>
      <c r="O346" s="19"/>
      <c r="P346" s="229">
        <f t="shared" si="32"/>
        <v>9.215200247156945</v>
      </c>
      <c r="Q346" s="229">
        <f t="shared" si="36"/>
        <v>14.645448216808353</v>
      </c>
      <c r="R346" s="144"/>
    </row>
    <row r="347" spans="2:18">
      <c r="B347" s="142">
        <f t="shared" si="33"/>
        <v>2050</v>
      </c>
      <c r="C347" s="19">
        <f t="shared" si="34"/>
        <v>6</v>
      </c>
      <c r="D347" s="143">
        <v>54940</v>
      </c>
      <c r="E347" s="19" t="str">
        <f t="shared" si="35"/>
        <v>6-2050</v>
      </c>
      <c r="F347" s="91">
        <f>'IEPR Gas Prices Real'!F349*(INDEX('GDP Deflator'!$D$6:$D$91,MATCH('IEPR Gas Prices Nominal'!$B347,'GDP Deflator'!$B$6:$B$91,0)))</f>
        <v>9.0497998790676188</v>
      </c>
      <c r="G347" s="91">
        <f>'IEPR Gas Prices Real'!G349*(INDEX('GDP Deflator'!$D$6:$D$91,MATCH('IEPR Gas Prices Nominal'!$B347,'GDP Deflator'!$B$6:$B$91,0)))</f>
        <v>4.7445396247938501</v>
      </c>
      <c r="H347" s="91">
        <f>'IEPR Gas Prices Real'!H349*(INDEX('GDP Deflator'!$D$6:$D$91,MATCH('IEPR Gas Prices Nominal'!$B347,'GDP Deflator'!$B$6:$B$91,0)))</f>
        <v>13.794339503861467</v>
      </c>
      <c r="I347" s="91">
        <f>'IEPR Gas Prices Real'!I349*(INDEX('GDP Deflator'!$D$6:$D$91,MATCH('IEPR Gas Prices Nominal'!$B347,'GDP Deflator'!$B$6:$B$91,0)))</f>
        <v>9.4813842077884871</v>
      </c>
      <c r="J347" s="91">
        <f>'IEPR Gas Prices Real'!J349*(INDEX('GDP Deflator'!$D$6:$D$91,MATCH('IEPR Gas Prices Nominal'!$B347,'GDP Deflator'!$B$6:$B$91,0)))</f>
        <v>7.8425350514411578</v>
      </c>
      <c r="K347" s="91">
        <f>'IEPR Gas Prices Real'!K349*(INDEX('GDP Deflator'!$D$6:$D$91,MATCH('IEPR Gas Prices Nominal'!$B347,'GDP Deflator'!$B$6:$B$91,0)))</f>
        <v>17.323919259229648</v>
      </c>
      <c r="L347" s="91">
        <f>'IEPR Gas Prices Real'!L349*(INDEX('GDP Deflator'!$D$6:$D$91,MATCH('IEPR Gas Prices Nominal'!$B347,'GDP Deflator'!$B$6:$B$91,0)))</f>
        <v>9.8290292653323448</v>
      </c>
      <c r="M347" s="91">
        <f>'IEPR Gas Prices Real'!M349*(INDEX('GDP Deflator'!$D$6:$D$91,MATCH('IEPR Gas Prices Nominal'!$B347,'GDP Deflator'!$B$6:$B$91,0)))</f>
        <v>3.7036692327192107</v>
      </c>
      <c r="N347" s="91">
        <f>'IEPR Gas Prices Real'!N349*(INDEX('GDP Deflator'!$D$6:$D$91,MATCH('IEPR Gas Prices Nominal'!$B347,'GDP Deflator'!$B$6:$B$91,0)))</f>
        <v>13.532698498051555</v>
      </c>
      <c r="O347" s="19"/>
      <c r="P347" s="229">
        <f t="shared" si="32"/>
        <v>9.4534044507294848</v>
      </c>
      <c r="Q347" s="229">
        <f t="shared" si="36"/>
        <v>14.883652420380889</v>
      </c>
      <c r="R347" s="144"/>
    </row>
    <row r="348" spans="2:18">
      <c r="B348" s="142">
        <f t="shared" si="33"/>
        <v>2050</v>
      </c>
      <c r="C348" s="19">
        <f t="shared" si="34"/>
        <v>7</v>
      </c>
      <c r="D348" s="143">
        <v>54970</v>
      </c>
      <c r="E348" s="19" t="str">
        <f t="shared" si="35"/>
        <v>7-2050</v>
      </c>
      <c r="F348" s="91">
        <f>'IEPR Gas Prices Real'!F350*(INDEX('GDP Deflator'!$D$6:$D$91,MATCH('IEPR Gas Prices Nominal'!$B348,'GDP Deflator'!$B$6:$B$91,0)))</f>
        <v>9.1216656766645432</v>
      </c>
      <c r="G348" s="91">
        <f>'IEPR Gas Prices Real'!G350*(INDEX('GDP Deflator'!$D$6:$D$91,MATCH('IEPR Gas Prices Nominal'!$B348,'GDP Deflator'!$B$6:$B$91,0)))</f>
        <v>4.7445396247938501</v>
      </c>
      <c r="H348" s="91">
        <f>'IEPR Gas Prices Real'!H350*(INDEX('GDP Deflator'!$D$6:$D$91,MATCH('IEPR Gas Prices Nominal'!$B348,'GDP Deflator'!$B$6:$B$91,0)))</f>
        <v>13.866205301458393</v>
      </c>
      <c r="I348" s="91">
        <f>'IEPR Gas Prices Real'!I350*(INDEX('GDP Deflator'!$D$6:$D$91,MATCH('IEPR Gas Prices Nominal'!$B348,'GDP Deflator'!$B$6:$B$91,0)))</f>
        <v>9.5565272605480445</v>
      </c>
      <c r="J348" s="91">
        <f>'IEPR Gas Prices Real'!J350*(INDEX('GDP Deflator'!$D$6:$D$91,MATCH('IEPR Gas Prices Nominal'!$B348,'GDP Deflator'!$B$6:$B$91,0)))</f>
        <v>7.8425350514411578</v>
      </c>
      <c r="K348" s="91">
        <f>'IEPR Gas Prices Real'!K350*(INDEX('GDP Deflator'!$D$6:$D$91,MATCH('IEPR Gas Prices Nominal'!$B348,'GDP Deflator'!$B$6:$B$91,0)))</f>
        <v>17.399062311989201</v>
      </c>
      <c r="L348" s="91">
        <f>'IEPR Gas Prices Real'!L350*(INDEX('GDP Deflator'!$D$6:$D$91,MATCH('IEPR Gas Prices Nominal'!$B348,'GDP Deflator'!$B$6:$B$91,0)))</f>
        <v>9.906931925423244</v>
      </c>
      <c r="M348" s="91">
        <f>'IEPR Gas Prices Real'!M350*(INDEX('GDP Deflator'!$D$6:$D$91,MATCH('IEPR Gas Prices Nominal'!$B348,'GDP Deflator'!$B$6:$B$91,0)))</f>
        <v>3.7036692327192107</v>
      </c>
      <c r="N348" s="91">
        <f>'IEPR Gas Prices Real'!N350*(INDEX('GDP Deflator'!$D$6:$D$91,MATCH('IEPR Gas Prices Nominal'!$B348,'GDP Deflator'!$B$6:$B$91,0)))</f>
        <v>13.610601158142456</v>
      </c>
      <c r="O348" s="19"/>
      <c r="P348" s="229">
        <f t="shared" si="32"/>
        <v>9.5283749542119427</v>
      </c>
      <c r="Q348" s="229">
        <f t="shared" si="36"/>
        <v>14.95862292386335</v>
      </c>
      <c r="R348" s="144"/>
    </row>
    <row r="349" spans="2:18">
      <c r="B349" s="142">
        <f t="shared" si="33"/>
        <v>2050</v>
      </c>
      <c r="C349" s="19">
        <f t="shared" si="34"/>
        <v>8</v>
      </c>
      <c r="D349" s="143">
        <v>55001</v>
      </c>
      <c r="E349" s="19" t="str">
        <f t="shared" si="35"/>
        <v>8-2050</v>
      </c>
      <c r="F349" s="91">
        <f>'IEPR Gas Prices Real'!F351*(INDEX('GDP Deflator'!$D$6:$D$91,MATCH('IEPR Gas Prices Nominal'!$B349,'GDP Deflator'!$B$6:$B$91,0)))</f>
        <v>9.0512785181960975</v>
      </c>
      <c r="G349" s="91">
        <f>'IEPR Gas Prices Real'!G351*(INDEX('GDP Deflator'!$D$6:$D$91,MATCH('IEPR Gas Prices Nominal'!$B349,'GDP Deflator'!$B$6:$B$91,0)))</f>
        <v>4.7445396247938501</v>
      </c>
      <c r="H349" s="91">
        <f>'IEPR Gas Prices Real'!H351*(INDEX('GDP Deflator'!$D$6:$D$91,MATCH('IEPR Gas Prices Nominal'!$B349,'GDP Deflator'!$B$6:$B$91,0)))</f>
        <v>13.795818142989948</v>
      </c>
      <c r="I349" s="91">
        <f>'IEPR Gas Prices Real'!I351*(INDEX('GDP Deflator'!$D$6:$D$91,MATCH('IEPR Gas Prices Nominal'!$B349,'GDP Deflator'!$B$6:$B$91,0)))</f>
        <v>9.4826356287182634</v>
      </c>
      <c r="J349" s="91">
        <f>'IEPR Gas Prices Real'!J351*(INDEX('GDP Deflator'!$D$6:$D$91,MATCH('IEPR Gas Prices Nominal'!$B349,'GDP Deflator'!$B$6:$B$91,0)))</f>
        <v>7.8425350514411578</v>
      </c>
      <c r="K349" s="91">
        <f>'IEPR Gas Prices Real'!K351*(INDEX('GDP Deflator'!$D$6:$D$91,MATCH('IEPR Gas Prices Nominal'!$B349,'GDP Deflator'!$B$6:$B$91,0)))</f>
        <v>17.32517068015942</v>
      </c>
      <c r="L349" s="91">
        <f>'IEPR Gas Prices Real'!L351*(INDEX('GDP Deflator'!$D$6:$D$91,MATCH('IEPR Gas Prices Nominal'!$B349,'GDP Deflator'!$B$6:$B$91,0)))</f>
        <v>9.8303353176505635</v>
      </c>
      <c r="M349" s="91">
        <f>'IEPR Gas Prices Real'!M351*(INDEX('GDP Deflator'!$D$6:$D$91,MATCH('IEPR Gas Prices Nominal'!$B349,'GDP Deflator'!$B$6:$B$91,0)))</f>
        <v>3.7036692327192107</v>
      </c>
      <c r="N349" s="91">
        <f>'IEPR Gas Prices Real'!N351*(INDEX('GDP Deflator'!$D$6:$D$91,MATCH('IEPR Gas Prices Nominal'!$B349,'GDP Deflator'!$B$6:$B$91,0)))</f>
        <v>13.534004550369774</v>
      </c>
      <c r="O349" s="19"/>
      <c r="P349" s="229">
        <f t="shared" si="32"/>
        <v>9.4547498215216432</v>
      </c>
      <c r="Q349" s="229">
        <f t="shared" si="36"/>
        <v>14.884997791173047</v>
      </c>
      <c r="R349" s="144"/>
    </row>
    <row r="350" spans="2:18">
      <c r="B350" s="142">
        <f t="shared" si="33"/>
        <v>2050</v>
      </c>
      <c r="C350" s="19">
        <f t="shared" si="34"/>
        <v>9</v>
      </c>
      <c r="D350" s="143">
        <v>55032</v>
      </c>
      <c r="E350" s="19" t="str">
        <f t="shared" si="35"/>
        <v>9-2050</v>
      </c>
      <c r="F350" s="91">
        <f>'IEPR Gas Prices Real'!F352*(INDEX('GDP Deflator'!$D$6:$D$91,MATCH('IEPR Gas Prices Nominal'!$B350,'GDP Deflator'!$B$6:$B$91,0)))</f>
        <v>9.1786630981363846</v>
      </c>
      <c r="G350" s="91">
        <f>'IEPR Gas Prices Real'!G352*(INDEX('GDP Deflator'!$D$6:$D$91,MATCH('IEPR Gas Prices Nominal'!$B350,'GDP Deflator'!$B$6:$B$91,0)))</f>
        <v>4.7445396247938501</v>
      </c>
      <c r="H350" s="91">
        <f>'IEPR Gas Prices Real'!H352*(INDEX('GDP Deflator'!$D$6:$D$91,MATCH('IEPR Gas Prices Nominal'!$B350,'GDP Deflator'!$B$6:$B$91,0)))</f>
        <v>13.923202722930235</v>
      </c>
      <c r="I350" s="91">
        <f>'IEPR Gas Prices Real'!I352*(INDEX('GDP Deflator'!$D$6:$D$91,MATCH('IEPR Gas Prices Nominal'!$B350,'GDP Deflator'!$B$6:$B$91,0)))</f>
        <v>9.6159400024692978</v>
      </c>
      <c r="J350" s="91">
        <f>'IEPR Gas Prices Real'!J352*(INDEX('GDP Deflator'!$D$6:$D$91,MATCH('IEPR Gas Prices Nominal'!$B350,'GDP Deflator'!$B$6:$B$91,0)))</f>
        <v>7.8425350514411578</v>
      </c>
      <c r="K350" s="91">
        <f>'IEPR Gas Prices Real'!K352*(INDEX('GDP Deflator'!$D$6:$D$91,MATCH('IEPR Gas Prices Nominal'!$B350,'GDP Deflator'!$B$6:$B$91,0)))</f>
        <v>17.458475053910455</v>
      </c>
      <c r="L350" s="91">
        <f>'IEPR Gas Prices Real'!L352*(INDEX('GDP Deflator'!$D$6:$D$91,MATCH('IEPR Gas Prices Nominal'!$B350,'GDP Deflator'!$B$6:$B$91,0)))</f>
        <v>9.9685319967997419</v>
      </c>
      <c r="M350" s="91">
        <f>'IEPR Gas Prices Real'!M352*(INDEX('GDP Deflator'!$D$6:$D$91,MATCH('IEPR Gas Prices Nominal'!$B350,'GDP Deflator'!$B$6:$B$91,0)))</f>
        <v>3.7036692327192107</v>
      </c>
      <c r="N350" s="91">
        <f>'IEPR Gas Prices Real'!N352*(INDEX('GDP Deflator'!$D$6:$D$91,MATCH('IEPR Gas Prices Nominal'!$B350,'GDP Deflator'!$B$6:$B$91,0)))</f>
        <v>13.672201229518953</v>
      </c>
      <c r="O350" s="19"/>
      <c r="P350" s="229">
        <f t="shared" si="32"/>
        <v>9.5877116991351414</v>
      </c>
      <c r="Q350" s="229">
        <f t="shared" si="36"/>
        <v>15.017959668786547</v>
      </c>
      <c r="R350" s="144"/>
    </row>
    <row r="351" spans="2:18">
      <c r="B351" s="142">
        <f t="shared" si="33"/>
        <v>2050</v>
      </c>
      <c r="C351" s="19">
        <f t="shared" si="34"/>
        <v>10</v>
      </c>
      <c r="D351" s="143">
        <v>55062</v>
      </c>
      <c r="E351" s="19" t="str">
        <f t="shared" si="35"/>
        <v>10-2050</v>
      </c>
      <c r="F351" s="91">
        <f>'IEPR Gas Prices Real'!F353*(INDEX('GDP Deflator'!$D$6:$D$91,MATCH('IEPR Gas Prices Nominal'!$B351,'GDP Deflator'!$B$6:$B$91,0)))</f>
        <v>9.1258410312014817</v>
      </c>
      <c r="G351" s="91">
        <f>'IEPR Gas Prices Real'!G353*(INDEX('GDP Deflator'!$D$6:$D$91,MATCH('IEPR Gas Prices Nominal'!$B351,'GDP Deflator'!$B$6:$B$91,0)))</f>
        <v>4.7445396247938501</v>
      </c>
      <c r="H351" s="91">
        <f>'IEPR Gas Prices Real'!H353*(INDEX('GDP Deflator'!$D$6:$D$91,MATCH('IEPR Gas Prices Nominal'!$B351,'GDP Deflator'!$B$6:$B$91,0)))</f>
        <v>13.870380655995332</v>
      </c>
      <c r="I351" s="91">
        <f>'IEPR Gas Prices Real'!I353*(INDEX('GDP Deflator'!$D$6:$D$91,MATCH('IEPR Gas Prices Nominal'!$B351,'GDP Deflator'!$B$6:$B$91,0)))</f>
        <v>9.5604513420700936</v>
      </c>
      <c r="J351" s="91">
        <f>'IEPR Gas Prices Real'!J353*(INDEX('GDP Deflator'!$D$6:$D$91,MATCH('IEPR Gas Prices Nominal'!$B351,'GDP Deflator'!$B$6:$B$91,0)))</f>
        <v>7.8425350514411578</v>
      </c>
      <c r="K351" s="91">
        <f>'IEPR Gas Prices Real'!K353*(INDEX('GDP Deflator'!$D$6:$D$91,MATCH('IEPR Gas Prices Nominal'!$B351,'GDP Deflator'!$B$6:$B$91,0)))</f>
        <v>17.402986393511252</v>
      </c>
      <c r="L351" s="91">
        <f>'IEPR Gas Prices Real'!L353*(INDEX('GDP Deflator'!$D$6:$D$91,MATCH('IEPR Gas Prices Nominal'!$B351,'GDP Deflator'!$B$6:$B$91,0)))</f>
        <v>9.9110131190883006</v>
      </c>
      <c r="M351" s="91">
        <f>'IEPR Gas Prices Real'!M353*(INDEX('GDP Deflator'!$D$6:$D$91,MATCH('IEPR Gas Prices Nominal'!$B351,'GDP Deflator'!$B$6:$B$91,0)))</f>
        <v>3.7036692327192107</v>
      </c>
      <c r="N351" s="91">
        <f>'IEPR Gas Prices Real'!N353*(INDEX('GDP Deflator'!$D$6:$D$91,MATCH('IEPR Gas Prices Nominal'!$B351,'GDP Deflator'!$B$6:$B$91,0)))</f>
        <v>13.614682351807511</v>
      </c>
      <c r="O351" s="19"/>
      <c r="P351" s="229">
        <f t="shared" si="32"/>
        <v>9.5324351641199598</v>
      </c>
      <c r="Q351" s="229">
        <f t="shared" si="36"/>
        <v>14.962683133771364</v>
      </c>
      <c r="R351" s="144"/>
    </row>
    <row r="352" spans="2:18">
      <c r="B352" s="142">
        <f t="shared" si="33"/>
        <v>2050</v>
      </c>
      <c r="C352" s="19">
        <f t="shared" si="34"/>
        <v>11</v>
      </c>
      <c r="D352" s="143">
        <v>55093</v>
      </c>
      <c r="E352" s="19" t="str">
        <f t="shared" si="35"/>
        <v>11-2050</v>
      </c>
      <c r="F352" s="91">
        <f>'IEPR Gas Prices Real'!F354*(INDEX('GDP Deflator'!$D$6:$D$91,MATCH('IEPR Gas Prices Nominal'!$B352,'GDP Deflator'!$B$6:$B$91,0)))</f>
        <v>9.5769760564530326</v>
      </c>
      <c r="G352" s="91">
        <f>'IEPR Gas Prices Real'!G354*(INDEX('GDP Deflator'!$D$6:$D$91,MATCH('IEPR Gas Prices Nominal'!$B352,'GDP Deflator'!$B$6:$B$91,0)))</f>
        <v>4.7445396247938501</v>
      </c>
      <c r="H352" s="91">
        <f>'IEPR Gas Prices Real'!H354*(INDEX('GDP Deflator'!$D$6:$D$91,MATCH('IEPR Gas Prices Nominal'!$B352,'GDP Deflator'!$B$6:$B$91,0)))</f>
        <v>14.321515681246883</v>
      </c>
      <c r="I352" s="91">
        <f>'IEPR Gas Prices Real'!I354*(INDEX('GDP Deflator'!$D$6:$D$91,MATCH('IEPR Gas Prices Nominal'!$B352,'GDP Deflator'!$B$6:$B$91,0)))</f>
        <v>10.032913732901235</v>
      </c>
      <c r="J352" s="91">
        <f>'IEPR Gas Prices Real'!J354*(INDEX('GDP Deflator'!$D$6:$D$91,MATCH('IEPR Gas Prices Nominal'!$B352,'GDP Deflator'!$B$6:$B$91,0)))</f>
        <v>7.8425350514411578</v>
      </c>
      <c r="K352" s="91">
        <f>'IEPR Gas Prices Real'!K354*(INDEX('GDP Deflator'!$D$6:$D$91,MATCH('IEPR Gas Prices Nominal'!$B352,'GDP Deflator'!$B$6:$B$91,0)))</f>
        <v>17.875448784342396</v>
      </c>
      <c r="L352" s="91">
        <f>'IEPR Gas Prices Real'!L354*(INDEX('GDP Deflator'!$D$6:$D$91,MATCH('IEPR Gas Prices Nominal'!$B352,'GDP Deflator'!$B$6:$B$91,0)))</f>
        <v>10.400804347476312</v>
      </c>
      <c r="M352" s="91">
        <f>'IEPR Gas Prices Real'!M354*(INDEX('GDP Deflator'!$D$6:$D$91,MATCH('IEPR Gas Prices Nominal'!$B352,'GDP Deflator'!$B$6:$B$91,0)))</f>
        <v>3.7036692327192107</v>
      </c>
      <c r="N352" s="91">
        <f>'IEPR Gas Prices Real'!N354*(INDEX('GDP Deflator'!$D$6:$D$91,MATCH('IEPR Gas Prices Nominal'!$B352,'GDP Deflator'!$B$6:$B$91,0)))</f>
        <v>14.104473580195524</v>
      </c>
      <c r="O352" s="19"/>
      <c r="P352" s="229">
        <f t="shared" si="32"/>
        <v>10.003564712276861</v>
      </c>
      <c r="Q352" s="229">
        <f t="shared" si="36"/>
        <v>15.433812681928266</v>
      </c>
      <c r="R352" s="144"/>
    </row>
    <row r="353" spans="2:18">
      <c r="B353" s="142">
        <f t="shared" si="33"/>
        <v>2050</v>
      </c>
      <c r="C353" s="19">
        <f t="shared" si="34"/>
        <v>12</v>
      </c>
      <c r="D353" s="143">
        <v>55123</v>
      </c>
      <c r="E353" s="19" t="str">
        <f t="shared" si="35"/>
        <v>12-2050</v>
      </c>
      <c r="F353" s="91">
        <f>'IEPR Gas Prices Real'!F355*(INDEX('GDP Deflator'!$D$6:$D$91,MATCH('IEPR Gas Prices Nominal'!$B353,'GDP Deflator'!$B$6:$B$91,0)))</f>
        <v>9.6540823192590803</v>
      </c>
      <c r="G353" s="91">
        <f>'IEPR Gas Prices Real'!G355*(INDEX('GDP Deflator'!$D$6:$D$91,MATCH('IEPR Gas Prices Nominal'!$B353,'GDP Deflator'!$B$6:$B$91,0)))</f>
        <v>4.7445396247938501</v>
      </c>
      <c r="H353" s="91">
        <f>'IEPR Gas Prices Real'!H355*(INDEX('GDP Deflator'!$D$6:$D$91,MATCH('IEPR Gas Prices Nominal'!$B353,'GDP Deflator'!$B$6:$B$91,0)))</f>
        <v>14.39862194405293</v>
      </c>
      <c r="I353" s="91">
        <f>'IEPR Gas Prices Real'!I355*(INDEX('GDP Deflator'!$D$6:$D$91,MATCH('IEPR Gas Prices Nominal'!$B353,'GDP Deflator'!$B$6:$B$91,0)))</f>
        <v>10.113532016164026</v>
      </c>
      <c r="J353" s="91">
        <f>'IEPR Gas Prices Real'!J355*(INDEX('GDP Deflator'!$D$6:$D$91,MATCH('IEPR Gas Prices Nominal'!$B353,'GDP Deflator'!$B$6:$B$91,0)))</f>
        <v>7.8425350514411578</v>
      </c>
      <c r="K353" s="91">
        <f>'IEPR Gas Prices Real'!K355*(INDEX('GDP Deflator'!$D$6:$D$91,MATCH('IEPR Gas Prices Nominal'!$B353,'GDP Deflator'!$B$6:$B$91,0)))</f>
        <v>17.956067067605186</v>
      </c>
      <c r="L353" s="91">
        <f>'IEPR Gas Prices Real'!L355*(INDEX('GDP Deflator'!$D$6:$D$91,MATCH('IEPR Gas Prices Nominal'!$B353,'GDP Deflator'!$B$6:$B$91,0)))</f>
        <v>10.48438343836489</v>
      </c>
      <c r="M353" s="91">
        <f>'IEPR Gas Prices Real'!M355*(INDEX('GDP Deflator'!$D$6:$D$91,MATCH('IEPR Gas Prices Nominal'!$B353,'GDP Deflator'!$B$6:$B$91,0)))</f>
        <v>3.7036692327192107</v>
      </c>
      <c r="N353" s="91">
        <f>'IEPR Gas Prices Real'!N355*(INDEX('GDP Deflator'!$D$6:$D$91,MATCH('IEPR Gas Prices Nominal'!$B353,'GDP Deflator'!$B$6:$B$91,0)))</f>
        <v>14.188052671084101</v>
      </c>
      <c r="O353" s="19"/>
      <c r="P353" s="229">
        <f t="shared" si="32"/>
        <v>10.083999257929332</v>
      </c>
      <c r="Q353" s="229">
        <f t="shared" si="36"/>
        <v>15.514247227580739</v>
      </c>
      <c r="R353" s="144"/>
    </row>
    <row r="354" spans="2:18">
      <c r="B354" s="142">
        <f t="shared" si="33"/>
        <v>2051</v>
      </c>
      <c r="C354" s="19">
        <f t="shared" si="34"/>
        <v>1</v>
      </c>
      <c r="D354" s="143">
        <v>55154</v>
      </c>
      <c r="E354" s="19" t="str">
        <f t="shared" si="35"/>
        <v>1-2051</v>
      </c>
      <c r="F354" s="91">
        <f>'IEPR Gas Prices Real'!F356*(INDEX('GDP Deflator'!$D$6:$D$91,MATCH('IEPR Gas Prices Nominal'!$B354,'GDP Deflator'!$B$6:$B$91,0)))</f>
        <v>9.8526847687087447</v>
      </c>
      <c r="G354" s="91">
        <f>'IEPR Gas Prices Real'!G356*(INDEX('GDP Deflator'!$D$6:$D$91,MATCH('IEPR Gas Prices Nominal'!$B354,'GDP Deflator'!$B$6:$B$91,0)))</f>
        <v>5.0348269640828276</v>
      </c>
      <c r="H354" s="91">
        <f>'IEPR Gas Prices Real'!H356*(INDEX('GDP Deflator'!$D$6:$D$91,MATCH('IEPR Gas Prices Nominal'!$B354,'GDP Deflator'!$B$6:$B$91,0)))</f>
        <v>14.887511732791573</v>
      </c>
      <c r="I354" s="91">
        <f>'IEPR Gas Prices Real'!I356*(INDEX('GDP Deflator'!$D$6:$D$91,MATCH('IEPR Gas Prices Nominal'!$B354,'GDP Deflator'!$B$6:$B$91,0)))</f>
        <v>10.321432503861706</v>
      </c>
      <c r="J354" s="91">
        <f>'IEPR Gas Prices Real'!J356*(INDEX('GDP Deflator'!$D$6:$D$91,MATCH('IEPR Gas Prices Nominal'!$B354,'GDP Deflator'!$B$6:$B$91,0)))</f>
        <v>8.3234497777295822</v>
      </c>
      <c r="K354" s="91">
        <f>'IEPR Gas Prices Real'!K356*(INDEX('GDP Deflator'!$D$6:$D$91,MATCH('IEPR Gas Prices Nominal'!$B354,'GDP Deflator'!$B$6:$B$91,0)))</f>
        <v>18.644882281591286</v>
      </c>
      <c r="L354" s="91">
        <f>'IEPR Gas Prices Real'!L356*(INDEX('GDP Deflator'!$D$6:$D$91,MATCH('IEPR Gas Prices Nominal'!$B354,'GDP Deflator'!$B$6:$B$91,0)))</f>
        <v>10.699912704288568</v>
      </c>
      <c r="M354" s="91">
        <f>'IEPR Gas Prices Real'!M356*(INDEX('GDP Deflator'!$D$6:$D$91,MATCH('IEPR Gas Prices Nominal'!$B354,'GDP Deflator'!$B$6:$B$91,0)))</f>
        <v>3.9307831778444795</v>
      </c>
      <c r="N354" s="91">
        <f>'IEPR Gas Prices Real'!N356*(INDEX('GDP Deflator'!$D$6:$D$91,MATCH('IEPR Gas Prices Nominal'!$B354,'GDP Deflator'!$B$6:$B$91,0)))</f>
        <v>14.630695882133047</v>
      </c>
      <c r="O354" s="19"/>
      <c r="P354" s="229">
        <f t="shared" si="32"/>
        <v>10.291343325619673</v>
      </c>
      <c r="Q354" s="229">
        <f t="shared" si="36"/>
        <v>16.054363298838634</v>
      </c>
      <c r="R354" s="144"/>
    </row>
    <row r="355" spans="2:18">
      <c r="B355" s="142">
        <f t="shared" si="33"/>
        <v>2051</v>
      </c>
      <c r="C355" s="19">
        <f t="shared" si="34"/>
        <v>2</v>
      </c>
      <c r="D355" s="143">
        <v>55185</v>
      </c>
      <c r="E355" s="19" t="str">
        <f t="shared" si="35"/>
        <v>2-2051</v>
      </c>
      <c r="F355" s="91">
        <f>'IEPR Gas Prices Real'!F357*(INDEX('GDP Deflator'!$D$6:$D$91,MATCH('IEPR Gas Prices Nominal'!$B355,'GDP Deflator'!$B$6:$B$91,0)))</f>
        <v>9.6367677837244621</v>
      </c>
      <c r="G355" s="91">
        <f>'IEPR Gas Prices Real'!G357*(INDEX('GDP Deflator'!$D$6:$D$91,MATCH('IEPR Gas Prices Nominal'!$B355,'GDP Deflator'!$B$6:$B$91,0)))</f>
        <v>5.0348269640828276</v>
      </c>
      <c r="H355" s="91">
        <f>'IEPR Gas Prices Real'!H357*(INDEX('GDP Deflator'!$D$6:$D$91,MATCH('IEPR Gas Prices Nominal'!$B355,'GDP Deflator'!$B$6:$B$91,0)))</f>
        <v>14.671594747807291</v>
      </c>
      <c r="I355" s="91">
        <f>'IEPR Gas Prices Real'!I357*(INDEX('GDP Deflator'!$D$6:$D$91,MATCH('IEPR Gas Prices Nominal'!$B355,'GDP Deflator'!$B$6:$B$91,0)))</f>
        <v>10.095092792581967</v>
      </c>
      <c r="J355" s="91">
        <f>'IEPR Gas Prices Real'!J357*(INDEX('GDP Deflator'!$D$6:$D$91,MATCH('IEPR Gas Prices Nominal'!$B355,'GDP Deflator'!$B$6:$B$91,0)))</f>
        <v>8.3234497777295822</v>
      </c>
      <c r="K355" s="91">
        <f>'IEPR Gas Prices Real'!K357*(INDEX('GDP Deflator'!$D$6:$D$91,MATCH('IEPR Gas Prices Nominal'!$B355,'GDP Deflator'!$B$6:$B$91,0)))</f>
        <v>18.418542570311548</v>
      </c>
      <c r="L355" s="91">
        <f>'IEPR Gas Prices Real'!L357*(INDEX('GDP Deflator'!$D$6:$D$91,MATCH('IEPR Gas Prices Nominal'!$B355,'GDP Deflator'!$B$6:$B$91,0)))</f>
        <v>10.465278457249159</v>
      </c>
      <c r="M355" s="91">
        <f>'IEPR Gas Prices Real'!M357*(INDEX('GDP Deflator'!$D$6:$D$91,MATCH('IEPR Gas Prices Nominal'!$B355,'GDP Deflator'!$B$6:$B$91,0)))</f>
        <v>3.9307831778444795</v>
      </c>
      <c r="N355" s="91">
        <f>'IEPR Gas Prices Real'!N357*(INDEX('GDP Deflator'!$D$6:$D$91,MATCH('IEPR Gas Prices Nominal'!$B355,'GDP Deflator'!$B$6:$B$91,0)))</f>
        <v>14.396061635093639</v>
      </c>
      <c r="O355" s="19"/>
      <c r="P355" s="229">
        <f t="shared" si="32"/>
        <v>10.065713011185197</v>
      </c>
      <c r="Q355" s="229">
        <f t="shared" si="36"/>
        <v>15.828732984404157</v>
      </c>
      <c r="R355" s="144"/>
    </row>
    <row r="356" spans="2:18">
      <c r="B356" s="142">
        <f t="shared" si="33"/>
        <v>2051</v>
      </c>
      <c r="C356" s="19">
        <f t="shared" si="34"/>
        <v>3</v>
      </c>
      <c r="D356" s="143">
        <v>55213</v>
      </c>
      <c r="E356" s="19" t="str">
        <f t="shared" si="35"/>
        <v>3-2051</v>
      </c>
      <c r="F356" s="91">
        <f>'IEPR Gas Prices Real'!F358*(INDEX('GDP Deflator'!$D$6:$D$91,MATCH('IEPR Gas Prices Nominal'!$B356,'GDP Deflator'!$B$6:$B$91,0)))</f>
        <v>8.8466729995433422</v>
      </c>
      <c r="G356" s="91">
        <f>'IEPR Gas Prices Real'!G358*(INDEX('GDP Deflator'!$D$6:$D$91,MATCH('IEPR Gas Prices Nominal'!$B356,'GDP Deflator'!$B$6:$B$91,0)))</f>
        <v>5.0348269640828276</v>
      </c>
      <c r="H356" s="91">
        <f>'IEPR Gas Prices Real'!H358*(INDEX('GDP Deflator'!$D$6:$D$91,MATCH('IEPR Gas Prices Nominal'!$B356,'GDP Deflator'!$B$6:$B$91,0)))</f>
        <v>13.881499963626169</v>
      </c>
      <c r="I356" s="91">
        <f>'IEPR Gas Prices Real'!I358*(INDEX('GDP Deflator'!$D$6:$D$91,MATCH('IEPR Gas Prices Nominal'!$B356,'GDP Deflator'!$B$6:$B$91,0)))</f>
        <v>9.2672830519064195</v>
      </c>
      <c r="J356" s="91">
        <f>'IEPR Gas Prices Real'!J358*(INDEX('GDP Deflator'!$D$6:$D$91,MATCH('IEPR Gas Prices Nominal'!$B356,'GDP Deflator'!$B$6:$B$91,0)))</f>
        <v>8.3234497777295822</v>
      </c>
      <c r="K356" s="91">
        <f>'IEPR Gas Prices Real'!K358*(INDEX('GDP Deflator'!$D$6:$D$91,MATCH('IEPR Gas Prices Nominal'!$B356,'GDP Deflator'!$B$6:$B$91,0)))</f>
        <v>17.590732829636</v>
      </c>
      <c r="L356" s="91">
        <f>'IEPR Gas Prices Real'!L358*(INDEX('GDP Deflator'!$D$6:$D$91,MATCH('IEPR Gas Prices Nominal'!$B356,'GDP Deflator'!$B$6:$B$91,0)))</f>
        <v>9.6071178156173609</v>
      </c>
      <c r="M356" s="91">
        <f>'IEPR Gas Prices Real'!M358*(INDEX('GDP Deflator'!$D$6:$D$91,MATCH('IEPR Gas Prices Nominal'!$B356,'GDP Deflator'!$B$6:$B$91,0)))</f>
        <v>3.9307831778444795</v>
      </c>
      <c r="N356" s="91">
        <f>'IEPR Gas Prices Real'!N358*(INDEX('GDP Deflator'!$D$6:$D$91,MATCH('IEPR Gas Prices Nominal'!$B356,'GDP Deflator'!$B$6:$B$91,0)))</f>
        <v>13.53790099346184</v>
      </c>
      <c r="O356" s="19"/>
      <c r="P356" s="229">
        <f t="shared" si="32"/>
        <v>9.2403579556890403</v>
      </c>
      <c r="Q356" s="229">
        <f t="shared" si="36"/>
        <v>15.003377928908003</v>
      </c>
      <c r="R356" s="144"/>
    </row>
    <row r="357" spans="2:18">
      <c r="B357" s="142">
        <f t="shared" si="33"/>
        <v>2051</v>
      </c>
      <c r="C357" s="19">
        <f t="shared" si="34"/>
        <v>4</v>
      </c>
      <c r="D357" s="143">
        <v>55244</v>
      </c>
      <c r="E357" s="19" t="str">
        <f t="shared" si="35"/>
        <v>4-2051</v>
      </c>
      <c r="F357" s="91">
        <f>'IEPR Gas Prices Real'!F359*(INDEX('GDP Deflator'!$D$6:$D$91,MATCH('IEPR Gas Prices Nominal'!$B357,'GDP Deflator'!$B$6:$B$91,0)))</f>
        <v>8.696235709030935</v>
      </c>
      <c r="G357" s="91">
        <f>'IEPR Gas Prices Real'!G359*(INDEX('GDP Deflator'!$D$6:$D$91,MATCH('IEPR Gas Prices Nominal'!$B357,'GDP Deflator'!$B$6:$B$91,0)))</f>
        <v>5.0348269640828276</v>
      </c>
      <c r="H357" s="91">
        <f>'IEPR Gas Prices Real'!H359*(INDEX('GDP Deflator'!$D$6:$D$91,MATCH('IEPR Gas Prices Nominal'!$B357,'GDP Deflator'!$B$6:$B$91,0)))</f>
        <v>13.731062673113763</v>
      </c>
      <c r="I357" s="91">
        <f>'IEPR Gas Prices Real'!I359*(INDEX('GDP Deflator'!$D$6:$D$91,MATCH('IEPR Gas Prices Nominal'!$B357,'GDP Deflator'!$B$6:$B$91,0)))</f>
        <v>9.1095576231077953</v>
      </c>
      <c r="J357" s="91">
        <f>'IEPR Gas Prices Real'!J359*(INDEX('GDP Deflator'!$D$6:$D$91,MATCH('IEPR Gas Prices Nominal'!$B357,'GDP Deflator'!$B$6:$B$91,0)))</f>
        <v>8.3234497777295822</v>
      </c>
      <c r="K357" s="91">
        <f>'IEPR Gas Prices Real'!K359*(INDEX('GDP Deflator'!$D$6:$D$91,MATCH('IEPR Gas Prices Nominal'!$B357,'GDP Deflator'!$B$6:$B$91,0)))</f>
        <v>17.433007400837376</v>
      </c>
      <c r="L357" s="91">
        <f>'IEPR Gas Prices Real'!L359*(INDEX('GDP Deflator'!$D$6:$D$91,MATCH('IEPR Gas Prices Nominal'!$B357,'GDP Deflator'!$B$6:$B$91,0)))</f>
        <v>9.4436132235614689</v>
      </c>
      <c r="M357" s="91">
        <f>'IEPR Gas Prices Real'!M359*(INDEX('GDP Deflator'!$D$6:$D$91,MATCH('IEPR Gas Prices Nominal'!$B357,'GDP Deflator'!$B$6:$B$91,0)))</f>
        <v>3.9307831778444795</v>
      </c>
      <c r="N357" s="91">
        <f>'IEPR Gas Prices Real'!N359*(INDEX('GDP Deflator'!$D$6:$D$91,MATCH('IEPR Gas Prices Nominal'!$B357,'GDP Deflator'!$B$6:$B$91,0)))</f>
        <v>13.374396401405949</v>
      </c>
      <c r="O357" s="19"/>
      <c r="P357" s="229">
        <f t="shared" si="32"/>
        <v>9.0831355185667331</v>
      </c>
      <c r="Q357" s="229">
        <f t="shared" si="36"/>
        <v>14.846155491785694</v>
      </c>
      <c r="R357" s="144"/>
    </row>
    <row r="358" spans="2:18">
      <c r="B358" s="142">
        <f t="shared" si="33"/>
        <v>2051</v>
      </c>
      <c r="C358" s="19">
        <f t="shared" si="34"/>
        <v>5</v>
      </c>
      <c r="D358" s="143">
        <v>55274</v>
      </c>
      <c r="E358" s="19" t="str">
        <f t="shared" si="35"/>
        <v>5-2051</v>
      </c>
      <c r="F358" s="91">
        <f>'IEPR Gas Prices Real'!F360*(INDEX('GDP Deflator'!$D$6:$D$91,MATCH('IEPR Gas Prices Nominal'!$B358,'GDP Deflator'!$B$6:$B$91,0)))</f>
        <v>8.9989864527781034</v>
      </c>
      <c r="G358" s="91">
        <f>'IEPR Gas Prices Real'!G360*(INDEX('GDP Deflator'!$D$6:$D$91,MATCH('IEPR Gas Prices Nominal'!$B358,'GDP Deflator'!$B$6:$B$91,0)))</f>
        <v>5.0348269640828276</v>
      </c>
      <c r="H358" s="91">
        <f>'IEPR Gas Prices Real'!H360*(INDEX('GDP Deflator'!$D$6:$D$91,MATCH('IEPR Gas Prices Nominal'!$B358,'GDP Deflator'!$B$6:$B$91,0)))</f>
        <v>14.033813416860932</v>
      </c>
      <c r="I358" s="91">
        <f>'IEPR Gas Prices Real'!I360*(INDEX('GDP Deflator'!$D$6:$D$91,MATCH('IEPR Gas Prices Nominal'!$B358,'GDP Deflator'!$B$6:$B$91,0)))</f>
        <v>9.4265573407444077</v>
      </c>
      <c r="J358" s="91">
        <f>'IEPR Gas Prices Real'!J360*(INDEX('GDP Deflator'!$D$6:$D$91,MATCH('IEPR Gas Prices Nominal'!$B358,'GDP Deflator'!$B$6:$B$91,0)))</f>
        <v>8.3234497777295822</v>
      </c>
      <c r="K358" s="91">
        <f>'IEPR Gas Prices Real'!K360*(INDEX('GDP Deflator'!$D$6:$D$91,MATCH('IEPR Gas Prices Nominal'!$B358,'GDP Deflator'!$B$6:$B$91,0)))</f>
        <v>17.750007118473988</v>
      </c>
      <c r="L358" s="91">
        <f>'IEPR Gas Prices Real'!L360*(INDEX('GDP Deflator'!$D$6:$D$91,MATCH('IEPR Gas Prices Nominal'!$B358,'GDP Deflator'!$B$6:$B$91,0)))</f>
        <v>9.7722424547482873</v>
      </c>
      <c r="M358" s="91">
        <f>'IEPR Gas Prices Real'!M360*(INDEX('GDP Deflator'!$D$6:$D$91,MATCH('IEPR Gas Prices Nominal'!$B358,'GDP Deflator'!$B$6:$B$91,0)))</f>
        <v>3.9307831778444795</v>
      </c>
      <c r="N358" s="91">
        <f>'IEPR Gas Prices Real'!N360*(INDEX('GDP Deflator'!$D$6:$D$91,MATCH('IEPR Gas Prices Nominal'!$B358,'GDP Deflator'!$B$6:$B$91,0)))</f>
        <v>13.703025632592768</v>
      </c>
      <c r="O358" s="19"/>
      <c r="P358" s="229">
        <f t="shared" si="32"/>
        <v>9.3992620827569322</v>
      </c>
      <c r="Q358" s="229">
        <f t="shared" si="36"/>
        <v>15.162282055975895</v>
      </c>
      <c r="R358" s="144"/>
    </row>
    <row r="359" spans="2:18">
      <c r="B359" s="142">
        <f t="shared" si="33"/>
        <v>2051</v>
      </c>
      <c r="C359" s="19">
        <f t="shared" si="34"/>
        <v>6</v>
      </c>
      <c r="D359" s="143">
        <v>55305</v>
      </c>
      <c r="E359" s="19" t="str">
        <f t="shared" si="35"/>
        <v>6-2051</v>
      </c>
      <c r="F359" s="91">
        <f>'IEPR Gas Prices Real'!F361*(INDEX('GDP Deflator'!$D$6:$D$91,MATCH('IEPR Gas Prices Nominal'!$B359,'GDP Deflator'!$B$6:$B$91,0)))</f>
        <v>9.2317286225383146</v>
      </c>
      <c r="G359" s="91">
        <f>'IEPR Gas Prices Real'!G361*(INDEX('GDP Deflator'!$D$6:$D$91,MATCH('IEPR Gas Prices Nominal'!$B359,'GDP Deflator'!$B$6:$B$91,0)))</f>
        <v>5.0348269640828276</v>
      </c>
      <c r="H359" s="91">
        <f>'IEPR Gas Prices Real'!H361*(INDEX('GDP Deflator'!$D$6:$D$91,MATCH('IEPR Gas Prices Nominal'!$B359,'GDP Deflator'!$B$6:$B$91,0)))</f>
        <v>14.266555586621143</v>
      </c>
      <c r="I359" s="91">
        <f>'IEPR Gas Prices Real'!I361*(INDEX('GDP Deflator'!$D$6:$D$91,MATCH('IEPR Gas Prices Nominal'!$B359,'GDP Deflator'!$B$6:$B$91,0)))</f>
        <v>9.6702137866855544</v>
      </c>
      <c r="J359" s="91">
        <f>'IEPR Gas Prices Real'!J361*(INDEX('GDP Deflator'!$D$6:$D$91,MATCH('IEPR Gas Prices Nominal'!$B359,'GDP Deflator'!$B$6:$B$91,0)))</f>
        <v>8.3234497777295822</v>
      </c>
      <c r="K359" s="91">
        <f>'IEPR Gas Prices Real'!K361*(INDEX('GDP Deflator'!$D$6:$D$91,MATCH('IEPR Gas Prices Nominal'!$B359,'GDP Deflator'!$B$6:$B$91,0)))</f>
        <v>17.993663564415137</v>
      </c>
      <c r="L359" s="91">
        <f>'IEPR Gas Prices Real'!L361*(INDEX('GDP Deflator'!$D$6:$D$91,MATCH('IEPR Gas Prices Nominal'!$B359,'GDP Deflator'!$B$6:$B$91,0)))</f>
        <v>10.024839102316335</v>
      </c>
      <c r="M359" s="91">
        <f>'IEPR Gas Prices Real'!M361*(INDEX('GDP Deflator'!$D$6:$D$91,MATCH('IEPR Gas Prices Nominal'!$B359,'GDP Deflator'!$B$6:$B$91,0)))</f>
        <v>3.9307831778444795</v>
      </c>
      <c r="N359" s="91">
        <f>'IEPR Gas Prices Real'!N361*(INDEX('GDP Deflator'!$D$6:$D$91,MATCH('IEPR Gas Prices Nominal'!$B359,'GDP Deflator'!$B$6:$B$91,0)))</f>
        <v>13.955622280160815</v>
      </c>
      <c r="O359" s="19"/>
      <c r="P359" s="229">
        <f t="shared" si="32"/>
        <v>9.6422605038467353</v>
      </c>
      <c r="Q359" s="229">
        <f t="shared" si="36"/>
        <v>15.4052804770657</v>
      </c>
      <c r="R359" s="144"/>
    </row>
    <row r="360" spans="2:18">
      <c r="B360" s="142">
        <f t="shared" si="33"/>
        <v>2051</v>
      </c>
      <c r="C360" s="19">
        <f t="shared" si="34"/>
        <v>7</v>
      </c>
      <c r="D360" s="143">
        <v>55335</v>
      </c>
      <c r="E360" s="19" t="str">
        <f t="shared" si="35"/>
        <v>7-2051</v>
      </c>
      <c r="F360" s="91">
        <f>'IEPR Gas Prices Real'!F362*(INDEX('GDP Deflator'!$D$6:$D$91,MATCH('IEPR Gas Prices Nominal'!$B360,'GDP Deflator'!$B$6:$B$91,0)))</f>
        <v>9.3050690251377262</v>
      </c>
      <c r="G360" s="91">
        <f>'IEPR Gas Prices Real'!G362*(INDEX('GDP Deflator'!$D$6:$D$91,MATCH('IEPR Gas Prices Nominal'!$B360,'GDP Deflator'!$B$6:$B$91,0)))</f>
        <v>5.0348269640828276</v>
      </c>
      <c r="H360" s="91">
        <f>'IEPR Gas Prices Real'!H362*(INDEX('GDP Deflator'!$D$6:$D$91,MATCH('IEPR Gas Prices Nominal'!$B360,'GDP Deflator'!$B$6:$B$91,0)))</f>
        <v>14.339895989220555</v>
      </c>
      <c r="I360" s="91">
        <f>'IEPR Gas Prices Real'!I362*(INDEX('GDP Deflator'!$D$6:$D$91,MATCH('IEPR Gas Prices Nominal'!$B360,'GDP Deflator'!$B$6:$B$91,0)))</f>
        <v>9.7468924752433832</v>
      </c>
      <c r="J360" s="91">
        <f>'IEPR Gas Prices Real'!J362*(INDEX('GDP Deflator'!$D$6:$D$91,MATCH('IEPR Gas Prices Nominal'!$B360,'GDP Deflator'!$B$6:$B$91,0)))</f>
        <v>8.3234497777295822</v>
      </c>
      <c r="K360" s="91">
        <f>'IEPR Gas Prices Real'!K362*(INDEX('GDP Deflator'!$D$6:$D$91,MATCH('IEPR Gas Prices Nominal'!$B360,'GDP Deflator'!$B$6:$B$91,0)))</f>
        <v>18.070342252972967</v>
      </c>
      <c r="L360" s="91">
        <f>'IEPR Gas Prices Real'!L362*(INDEX('GDP Deflator'!$D$6:$D$91,MATCH('IEPR Gas Prices Nominal'!$B360,'GDP Deflator'!$B$6:$B$91,0)))</f>
        <v>10.104334762711721</v>
      </c>
      <c r="M360" s="91">
        <f>'IEPR Gas Prices Real'!M362*(INDEX('GDP Deflator'!$D$6:$D$91,MATCH('IEPR Gas Prices Nominal'!$B360,'GDP Deflator'!$B$6:$B$91,0)))</f>
        <v>3.9307831778444795</v>
      </c>
      <c r="N360" s="91">
        <f>'IEPR Gas Prices Real'!N362*(INDEX('GDP Deflator'!$D$6:$D$91,MATCH('IEPR Gas Prices Nominal'!$B360,'GDP Deflator'!$B$6:$B$91,0)))</f>
        <v>14.035117940556201</v>
      </c>
      <c r="O360" s="19"/>
      <c r="P360" s="229">
        <f t="shared" si="32"/>
        <v>9.7187654210309447</v>
      </c>
      <c r="Q360" s="229">
        <f t="shared" si="36"/>
        <v>15.481785394249906</v>
      </c>
      <c r="R360" s="144"/>
    </row>
    <row r="361" spans="2:18">
      <c r="B361" s="142">
        <f t="shared" si="33"/>
        <v>2051</v>
      </c>
      <c r="C361" s="19">
        <f t="shared" si="34"/>
        <v>8</v>
      </c>
      <c r="D361" s="143">
        <v>55366</v>
      </c>
      <c r="E361" s="19" t="str">
        <f t="shared" si="35"/>
        <v>8-2051</v>
      </c>
      <c r="F361" s="91">
        <f>'IEPR Gas Prices Real'!F363*(INDEX('GDP Deflator'!$D$6:$D$91,MATCH('IEPR Gas Prices Nominal'!$B361,'GDP Deflator'!$B$6:$B$91,0)))</f>
        <v>9.2332962916619614</v>
      </c>
      <c r="G361" s="91">
        <f>'IEPR Gas Prices Real'!G363*(INDEX('GDP Deflator'!$D$6:$D$91,MATCH('IEPR Gas Prices Nominal'!$B361,'GDP Deflator'!$B$6:$B$91,0)))</f>
        <v>5.0348269640828276</v>
      </c>
      <c r="H361" s="91">
        <f>'IEPR Gas Prices Real'!H363*(INDEX('GDP Deflator'!$D$6:$D$91,MATCH('IEPR Gas Prices Nominal'!$B361,'GDP Deflator'!$B$6:$B$91,0)))</f>
        <v>14.26812325574479</v>
      </c>
      <c r="I361" s="91">
        <f>'IEPR Gas Prices Real'!I363*(INDEX('GDP Deflator'!$D$6:$D$91,MATCH('IEPR Gas Prices Nominal'!$B361,'GDP Deflator'!$B$6:$B$91,0)))</f>
        <v>9.6715677298877409</v>
      </c>
      <c r="J361" s="91">
        <f>'IEPR Gas Prices Real'!J363*(INDEX('GDP Deflator'!$D$6:$D$91,MATCH('IEPR Gas Prices Nominal'!$B361,'GDP Deflator'!$B$6:$B$91,0)))</f>
        <v>8.3234497777295822</v>
      </c>
      <c r="K361" s="91">
        <f>'IEPR Gas Prices Real'!K363*(INDEX('GDP Deflator'!$D$6:$D$91,MATCH('IEPR Gas Prices Nominal'!$B361,'GDP Deflator'!$B$6:$B$91,0)))</f>
        <v>17.99501750761732</v>
      </c>
      <c r="L361" s="91">
        <f>'IEPR Gas Prices Real'!L363*(INDEX('GDP Deflator'!$D$6:$D$91,MATCH('IEPR Gas Prices Nominal'!$B361,'GDP Deflator'!$B$6:$B$91,0)))</f>
        <v>10.026252654192023</v>
      </c>
      <c r="M361" s="91">
        <f>'IEPR Gas Prices Real'!M363*(INDEX('GDP Deflator'!$D$6:$D$91,MATCH('IEPR Gas Prices Nominal'!$B361,'GDP Deflator'!$B$6:$B$91,0)))</f>
        <v>3.9307831778444795</v>
      </c>
      <c r="N361" s="91">
        <f>'IEPR Gas Prices Real'!N363*(INDEX('GDP Deflator'!$D$6:$D$91,MATCH('IEPR Gas Prices Nominal'!$B361,'GDP Deflator'!$B$6:$B$91,0)))</f>
        <v>13.957035832036501</v>
      </c>
      <c r="O361" s="19"/>
      <c r="P361" s="229">
        <f t="shared" si="32"/>
        <v>9.6437055585805762</v>
      </c>
      <c r="Q361" s="229">
        <f t="shared" si="36"/>
        <v>15.406725531799538</v>
      </c>
      <c r="R361" s="144"/>
    </row>
    <row r="362" spans="2:18">
      <c r="B362" s="142">
        <f t="shared" si="33"/>
        <v>2051</v>
      </c>
      <c r="C362" s="19">
        <f t="shared" si="34"/>
        <v>9</v>
      </c>
      <c r="D362" s="143">
        <v>55397</v>
      </c>
      <c r="E362" s="19" t="str">
        <f t="shared" si="35"/>
        <v>9-2051</v>
      </c>
      <c r="F362" s="91">
        <f>'IEPR Gas Prices Real'!F364*(INDEX('GDP Deflator'!$D$6:$D$91,MATCH('IEPR Gas Prices Nominal'!$B362,'GDP Deflator'!$B$6:$B$91,0)))</f>
        <v>9.3632725999290756</v>
      </c>
      <c r="G362" s="91">
        <f>'IEPR Gas Prices Real'!G364*(INDEX('GDP Deflator'!$D$6:$D$91,MATCH('IEPR Gas Prices Nominal'!$B362,'GDP Deflator'!$B$6:$B$91,0)))</f>
        <v>5.0348269640828276</v>
      </c>
      <c r="H362" s="91">
        <f>'IEPR Gas Prices Real'!H364*(INDEX('GDP Deflator'!$D$6:$D$91,MATCH('IEPR Gas Prices Nominal'!$B362,'GDP Deflator'!$B$6:$B$91,0)))</f>
        <v>14.398099564011902</v>
      </c>
      <c r="I362" s="91">
        <f>'IEPR Gas Prices Real'!I364*(INDEX('GDP Deflator'!$D$6:$D$91,MATCH('IEPR Gas Prices Nominal'!$B362,'GDP Deflator'!$B$6:$B$91,0)))</f>
        <v>9.8075674118633902</v>
      </c>
      <c r="J362" s="91">
        <f>'IEPR Gas Prices Real'!J364*(INDEX('GDP Deflator'!$D$6:$D$91,MATCH('IEPR Gas Prices Nominal'!$B362,'GDP Deflator'!$B$6:$B$91,0)))</f>
        <v>8.3234497777295822</v>
      </c>
      <c r="K362" s="91">
        <f>'IEPR Gas Prices Real'!K364*(INDEX('GDP Deflator'!$D$6:$D$91,MATCH('IEPR Gas Prices Nominal'!$B362,'GDP Deflator'!$B$6:$B$91,0)))</f>
        <v>18.131017189592971</v>
      </c>
      <c r="L362" s="91">
        <f>'IEPR Gas Prices Real'!L364*(INDEX('GDP Deflator'!$D$6:$D$91,MATCH('IEPR Gas Prices Nominal'!$B362,'GDP Deflator'!$B$6:$B$91,0)))</f>
        <v>10.167244894956617</v>
      </c>
      <c r="M362" s="91">
        <f>'IEPR Gas Prices Real'!M364*(INDEX('GDP Deflator'!$D$6:$D$91,MATCH('IEPR Gas Prices Nominal'!$B362,'GDP Deflator'!$B$6:$B$91,0)))</f>
        <v>3.9307831778444795</v>
      </c>
      <c r="N362" s="91">
        <f>'IEPR Gas Prices Real'!N364*(INDEX('GDP Deflator'!$D$6:$D$91,MATCH('IEPR Gas Prices Nominal'!$B362,'GDP Deflator'!$B$6:$B$91,0)))</f>
        <v>14.098028072801096</v>
      </c>
      <c r="O362" s="19"/>
      <c r="P362" s="229">
        <f t="shared" si="32"/>
        <v>9.7793616355830277</v>
      </c>
      <c r="Q362" s="229">
        <f t="shared" si="36"/>
        <v>15.542381608801989</v>
      </c>
      <c r="R362" s="144"/>
    </row>
    <row r="363" spans="2:18">
      <c r="B363" s="142">
        <f t="shared" si="33"/>
        <v>2051</v>
      </c>
      <c r="C363" s="19">
        <f t="shared" si="34"/>
        <v>10</v>
      </c>
      <c r="D363" s="143">
        <v>55427</v>
      </c>
      <c r="E363" s="19" t="str">
        <f t="shared" si="35"/>
        <v>10-2051</v>
      </c>
      <c r="F363" s="91">
        <f>'IEPR Gas Prices Real'!F365*(INDEX('GDP Deflator'!$D$6:$D$91,MATCH('IEPR Gas Prices Nominal'!$B363,'GDP Deflator'!$B$6:$B$91,0)))</f>
        <v>9.3094180300027407</v>
      </c>
      <c r="G363" s="91">
        <f>'IEPR Gas Prices Real'!G365*(INDEX('GDP Deflator'!$D$6:$D$91,MATCH('IEPR Gas Prices Nominal'!$B363,'GDP Deflator'!$B$6:$B$91,0)))</f>
        <v>5.0348269640828276</v>
      </c>
      <c r="H363" s="91">
        <f>'IEPR Gas Prices Real'!H365*(INDEX('GDP Deflator'!$D$6:$D$91,MATCH('IEPR Gas Prices Nominal'!$B363,'GDP Deflator'!$B$6:$B$91,0)))</f>
        <v>14.344244994085569</v>
      </c>
      <c r="I363" s="91">
        <f>'IEPR Gas Prices Real'!I365*(INDEX('GDP Deflator'!$D$6:$D$91,MATCH('IEPR Gas Prices Nominal'!$B363,'GDP Deflator'!$B$6:$B$91,0)))</f>
        <v>9.7510120956563107</v>
      </c>
      <c r="J363" s="91">
        <f>'IEPR Gas Prices Real'!J365*(INDEX('GDP Deflator'!$D$6:$D$91,MATCH('IEPR Gas Prices Nominal'!$B363,'GDP Deflator'!$B$6:$B$91,0)))</f>
        <v>8.3234497777295822</v>
      </c>
      <c r="K363" s="91">
        <f>'IEPR Gas Prices Real'!K365*(INDEX('GDP Deflator'!$D$6:$D$91,MATCH('IEPR Gas Prices Nominal'!$B363,'GDP Deflator'!$B$6:$B$91,0)))</f>
        <v>18.074461873385893</v>
      </c>
      <c r="L363" s="91">
        <f>'IEPR Gas Prices Real'!L365*(INDEX('GDP Deflator'!$D$6:$D$91,MATCH('IEPR Gas Prices Nominal'!$B363,'GDP Deflator'!$B$6:$B$91,0)))</f>
        <v>10.108620519855616</v>
      </c>
      <c r="M363" s="91">
        <f>'IEPR Gas Prices Real'!M365*(INDEX('GDP Deflator'!$D$6:$D$91,MATCH('IEPR Gas Prices Nominal'!$B363,'GDP Deflator'!$B$6:$B$91,0)))</f>
        <v>3.9307831778444795</v>
      </c>
      <c r="N363" s="91">
        <f>'IEPR Gas Prices Real'!N365*(INDEX('GDP Deflator'!$D$6:$D$91,MATCH('IEPR Gas Prices Nominal'!$B363,'GDP Deflator'!$B$6:$B$91,0)))</f>
        <v>14.039403697700095</v>
      </c>
      <c r="O363" s="19"/>
      <c r="P363" s="229">
        <f t="shared" si="32"/>
        <v>9.7230168818382232</v>
      </c>
      <c r="Q363" s="229">
        <f t="shared" si="36"/>
        <v>15.486036855057186</v>
      </c>
      <c r="R363" s="144"/>
    </row>
    <row r="364" spans="2:18">
      <c r="B364" s="142">
        <f t="shared" si="33"/>
        <v>2051</v>
      </c>
      <c r="C364" s="19">
        <f t="shared" si="34"/>
        <v>11</v>
      </c>
      <c r="D364" s="143">
        <v>55458</v>
      </c>
      <c r="E364" s="19" t="str">
        <f t="shared" si="35"/>
        <v>11-2051</v>
      </c>
      <c r="F364" s="91">
        <f>'IEPR Gas Prices Real'!F366*(INDEX('GDP Deflator'!$D$6:$D$91,MATCH('IEPR Gas Prices Nominal'!$B364,'GDP Deflator'!$B$6:$B$91,0)))</f>
        <v>9.7696595476725498</v>
      </c>
      <c r="G364" s="91">
        <f>'IEPR Gas Prices Real'!G366*(INDEX('GDP Deflator'!$D$6:$D$91,MATCH('IEPR Gas Prices Nominal'!$B364,'GDP Deflator'!$B$6:$B$91,0)))</f>
        <v>5.0348269640828276</v>
      </c>
      <c r="H364" s="91">
        <f>'IEPR Gas Prices Real'!H366*(INDEX('GDP Deflator'!$D$6:$D$91,MATCH('IEPR Gas Prices Nominal'!$B364,'GDP Deflator'!$B$6:$B$91,0)))</f>
        <v>14.804486511755377</v>
      </c>
      <c r="I364" s="91">
        <f>'IEPR Gas Prices Real'!I366*(INDEX('GDP Deflator'!$D$6:$D$91,MATCH('IEPR Gas Prices Nominal'!$B364,'GDP Deflator'!$B$6:$B$91,0)))</f>
        <v>10.232932763127705</v>
      </c>
      <c r="J364" s="91">
        <f>'IEPR Gas Prices Real'!J366*(INDEX('GDP Deflator'!$D$6:$D$91,MATCH('IEPR Gas Prices Nominal'!$B364,'GDP Deflator'!$B$6:$B$91,0)))</f>
        <v>8.3234497777295822</v>
      </c>
      <c r="K364" s="91">
        <f>'IEPR Gas Prices Real'!K366*(INDEX('GDP Deflator'!$D$6:$D$91,MATCH('IEPR Gas Prices Nominal'!$B364,'GDP Deflator'!$B$6:$B$91,0)))</f>
        <v>18.556382540857285</v>
      </c>
      <c r="L364" s="91">
        <f>'IEPR Gas Prices Real'!L366*(INDEX('GDP Deflator'!$D$6:$D$91,MATCH('IEPR Gas Prices Nominal'!$B364,'GDP Deflator'!$B$6:$B$91,0)))</f>
        <v>10.608220405470634</v>
      </c>
      <c r="M364" s="91">
        <f>'IEPR Gas Prices Real'!M366*(INDEX('GDP Deflator'!$D$6:$D$91,MATCH('IEPR Gas Prices Nominal'!$B364,'GDP Deflator'!$B$6:$B$91,0)))</f>
        <v>3.9307831778444795</v>
      </c>
      <c r="N364" s="91">
        <f>'IEPR Gas Prices Real'!N366*(INDEX('GDP Deflator'!$D$6:$D$91,MATCH('IEPR Gas Prices Nominal'!$B364,'GDP Deflator'!$B$6:$B$91,0)))</f>
        <v>14.539003583315115</v>
      </c>
      <c r="O364" s="19"/>
      <c r="P364" s="229">
        <f t="shared" si="32"/>
        <v>10.203604238756961</v>
      </c>
      <c r="Q364" s="229">
        <f t="shared" si="36"/>
        <v>15.966624211975926</v>
      </c>
      <c r="R364" s="144"/>
    </row>
    <row r="365" spans="2:18">
      <c r="B365" s="142">
        <f t="shared" si="33"/>
        <v>2051</v>
      </c>
      <c r="C365" s="19">
        <f t="shared" si="34"/>
        <v>12</v>
      </c>
      <c r="D365" s="143">
        <v>55488</v>
      </c>
      <c r="E365" s="19" t="str">
        <f t="shared" si="35"/>
        <v>12-2051</v>
      </c>
      <c r="F365" s="91">
        <f>'IEPR Gas Prices Real'!F367*(INDEX('GDP Deflator'!$D$6:$D$91,MATCH('IEPR Gas Prices Nominal'!$B365,'GDP Deflator'!$B$6:$B$91,0)))</f>
        <v>9.8483487830167054</v>
      </c>
      <c r="G365" s="91">
        <f>'IEPR Gas Prices Real'!G367*(INDEX('GDP Deflator'!$D$6:$D$91,MATCH('IEPR Gas Prices Nominal'!$B365,'GDP Deflator'!$B$6:$B$91,0)))</f>
        <v>5.0348269640828276</v>
      </c>
      <c r="H365" s="91">
        <f>'IEPR Gas Prices Real'!H367*(INDEX('GDP Deflator'!$D$6:$D$91,MATCH('IEPR Gas Prices Nominal'!$B365,'GDP Deflator'!$B$6:$B$91,0)))</f>
        <v>14.883175747099534</v>
      </c>
      <c r="I365" s="91">
        <f>'IEPR Gas Prices Real'!I367*(INDEX('GDP Deflator'!$D$6:$D$91,MATCH('IEPR Gas Prices Nominal'!$B365,'GDP Deflator'!$B$6:$B$91,0)))</f>
        <v>10.315199675049382</v>
      </c>
      <c r="J365" s="91">
        <f>'IEPR Gas Prices Real'!J367*(INDEX('GDP Deflator'!$D$6:$D$91,MATCH('IEPR Gas Prices Nominal'!$B365,'GDP Deflator'!$B$6:$B$91,0)))</f>
        <v>8.3234497777295822</v>
      </c>
      <c r="K365" s="91">
        <f>'IEPR Gas Prices Real'!K367*(INDEX('GDP Deflator'!$D$6:$D$91,MATCH('IEPR Gas Prices Nominal'!$B365,'GDP Deflator'!$B$6:$B$91,0)))</f>
        <v>18.638649452778964</v>
      </c>
      <c r="L365" s="91">
        <f>'IEPR Gas Prices Real'!L367*(INDEX('GDP Deflator'!$D$6:$D$91,MATCH('IEPR Gas Prices Nominal'!$B365,'GDP Deflator'!$B$6:$B$91,0)))</f>
        <v>10.693509726840052</v>
      </c>
      <c r="M365" s="91">
        <f>'IEPR Gas Prices Real'!M367*(INDEX('GDP Deflator'!$D$6:$D$91,MATCH('IEPR Gas Prices Nominal'!$B365,'GDP Deflator'!$B$6:$B$91,0)))</f>
        <v>3.9307831778444795</v>
      </c>
      <c r="N365" s="91">
        <f>'IEPR Gas Prices Real'!N367*(INDEX('GDP Deflator'!$D$6:$D$91,MATCH('IEPR Gas Prices Nominal'!$B365,'GDP Deflator'!$B$6:$B$91,0)))</f>
        <v>14.62429290468453</v>
      </c>
      <c r="O365" s="19"/>
      <c r="P365" s="229">
        <f t="shared" si="32"/>
        <v>10.28568606163538</v>
      </c>
      <c r="Q365" s="229">
        <f t="shared" si="36"/>
        <v>16.048706034854344</v>
      </c>
      <c r="R365" s="144"/>
    </row>
    <row r="366" spans="2:18">
      <c r="B366" s="142">
        <f t="shared" si="33"/>
        <v>2052</v>
      </c>
      <c r="C366" s="19">
        <f t="shared" si="34"/>
        <v>1</v>
      </c>
      <c r="D366" s="143">
        <v>55519</v>
      </c>
      <c r="E366" s="19" t="str">
        <f t="shared" si="35"/>
        <v>1-2052</v>
      </c>
      <c r="F366" s="91">
        <f>'IEPR Gas Prices Real'!F368*(INDEX('GDP Deflator'!$D$6:$D$91,MATCH('IEPR Gas Prices Nominal'!$B366,'GDP Deflator'!$B$6:$B$91,0)))</f>
        <v>10.058446717157274</v>
      </c>
      <c r="G366" s="91">
        <f>'IEPR Gas Prices Real'!G368*(INDEX('GDP Deflator'!$D$6:$D$91,MATCH('IEPR Gas Prices Nominal'!$B366,'GDP Deflator'!$B$6:$B$91,0)))</f>
        <v>5.3468659994808965</v>
      </c>
      <c r="H366" s="91">
        <f>'IEPR Gas Prices Real'!H368*(INDEX('GDP Deflator'!$D$6:$D$91,MATCH('IEPR Gas Prices Nominal'!$B366,'GDP Deflator'!$B$6:$B$91,0)))</f>
        <v>15.405312716638171</v>
      </c>
      <c r="I366" s="91">
        <f>'IEPR Gas Prices Real'!I368*(INDEX('GDP Deflator'!$D$6:$D$91,MATCH('IEPR Gas Prices Nominal'!$B366,'GDP Deflator'!$B$6:$B$91,0)))</f>
        <v>10.535103500981251</v>
      </c>
      <c r="J366" s="91">
        <f>'IEPR Gas Prices Real'!J368*(INDEX('GDP Deflator'!$D$6:$D$91,MATCH('IEPR Gas Prices Nominal'!$B366,'GDP Deflator'!$B$6:$B$91,0)))</f>
        <v>8.8404531926841781</v>
      </c>
      <c r="K366" s="91">
        <f>'IEPR Gas Prices Real'!K368*(INDEX('GDP Deflator'!$D$6:$D$91,MATCH('IEPR Gas Prices Nominal'!$B366,'GDP Deflator'!$B$6:$B$91,0)))</f>
        <v>19.37555669366543</v>
      </c>
      <c r="L366" s="91">
        <f>'IEPR Gas Prices Real'!L368*(INDEX('GDP Deflator'!$D$6:$D$91,MATCH('IEPR Gas Prices Nominal'!$B366,'GDP Deflator'!$B$6:$B$91,0)))</f>
        <v>10.921482420813868</v>
      </c>
      <c r="M366" s="91">
        <f>'IEPR Gas Prices Real'!M368*(INDEX('GDP Deflator'!$D$6:$D$91,MATCH('IEPR Gas Prices Nominal'!$B366,'GDP Deflator'!$B$6:$B$91,0)))</f>
        <v>4.1749401536971069</v>
      </c>
      <c r="N366" s="91">
        <f>'IEPR Gas Prices Real'!N368*(INDEX('GDP Deflator'!$D$6:$D$91,MATCH('IEPR Gas Prices Nominal'!$B366,'GDP Deflator'!$B$6:$B$91,0)))</f>
        <v>15.096422574510974</v>
      </c>
      <c r="O366" s="19"/>
      <c r="P366" s="229">
        <f t="shared" si="32"/>
        <v>10.505010879650797</v>
      </c>
      <c r="Q366" s="229">
        <f t="shared" si="36"/>
        <v>16.625763994938193</v>
      </c>
      <c r="R366" s="144"/>
    </row>
    <row r="367" spans="2:18">
      <c r="B367" s="142">
        <f t="shared" si="33"/>
        <v>2052</v>
      </c>
      <c r="C367" s="19">
        <f t="shared" si="34"/>
        <v>2</v>
      </c>
      <c r="D367" s="143">
        <v>55550</v>
      </c>
      <c r="E367" s="19" t="str">
        <f t="shared" si="35"/>
        <v>2-2052</v>
      </c>
      <c r="F367" s="91">
        <f>'IEPR Gas Prices Real'!F369*(INDEX('GDP Deflator'!$D$6:$D$91,MATCH('IEPR Gas Prices Nominal'!$B367,'GDP Deflator'!$B$6:$B$91,0)))</f>
        <v>9.8380123503890502</v>
      </c>
      <c r="G367" s="91">
        <f>'IEPR Gas Prices Real'!G369*(INDEX('GDP Deflator'!$D$6:$D$91,MATCH('IEPR Gas Prices Nominal'!$B367,'GDP Deflator'!$B$6:$B$91,0)))</f>
        <v>5.3468659994808965</v>
      </c>
      <c r="H367" s="91">
        <f>'IEPR Gas Prices Real'!H369*(INDEX('GDP Deflator'!$D$6:$D$91,MATCH('IEPR Gas Prices Nominal'!$B367,'GDP Deflator'!$B$6:$B$91,0)))</f>
        <v>15.184878349869948</v>
      </c>
      <c r="I367" s="91">
        <f>'IEPR Gas Prices Real'!I369*(INDEX('GDP Deflator'!$D$6:$D$91,MATCH('IEPR Gas Prices Nominal'!$B367,'GDP Deflator'!$B$6:$B$91,0)))</f>
        <v>10.304072805257038</v>
      </c>
      <c r="J367" s="91">
        <f>'IEPR Gas Prices Real'!J369*(INDEX('GDP Deflator'!$D$6:$D$91,MATCH('IEPR Gas Prices Nominal'!$B367,'GDP Deflator'!$B$6:$B$91,0)))</f>
        <v>8.8404531926841781</v>
      </c>
      <c r="K367" s="91">
        <f>'IEPR Gas Prices Real'!K369*(INDEX('GDP Deflator'!$D$6:$D$91,MATCH('IEPR Gas Prices Nominal'!$B367,'GDP Deflator'!$B$6:$B$91,0)))</f>
        <v>19.144525997941216</v>
      </c>
      <c r="L367" s="91">
        <f>'IEPR Gas Prices Real'!L369*(INDEX('GDP Deflator'!$D$6:$D$91,MATCH('IEPR Gas Prices Nominal'!$B367,'GDP Deflator'!$B$6:$B$91,0)))</f>
        <v>10.68198239462442</v>
      </c>
      <c r="M367" s="91">
        <f>'IEPR Gas Prices Real'!M369*(INDEX('GDP Deflator'!$D$6:$D$91,MATCH('IEPR Gas Prices Nominal'!$B367,'GDP Deflator'!$B$6:$B$91,0)))</f>
        <v>4.1749401536971069</v>
      </c>
      <c r="N367" s="91">
        <f>'IEPR Gas Prices Real'!N369*(INDEX('GDP Deflator'!$D$6:$D$91,MATCH('IEPR Gas Prices Nominal'!$B367,'GDP Deflator'!$B$6:$B$91,0)))</f>
        <v>14.856922548321529</v>
      </c>
      <c r="O367" s="19"/>
      <c r="P367" s="229">
        <f t="shared" si="32"/>
        <v>10.274689183423503</v>
      </c>
      <c r="Q367" s="229">
        <f t="shared" si="36"/>
        <v>16.395442298710897</v>
      </c>
      <c r="R367" s="144"/>
    </row>
    <row r="368" spans="2:18">
      <c r="B368" s="142">
        <f t="shared" si="33"/>
        <v>2052</v>
      </c>
      <c r="C368" s="19">
        <f t="shared" si="34"/>
        <v>3</v>
      </c>
      <c r="D368" s="143">
        <v>55579</v>
      </c>
      <c r="E368" s="19" t="str">
        <f t="shared" si="35"/>
        <v>3-2052</v>
      </c>
      <c r="F368" s="91">
        <f>'IEPR Gas Prices Real'!F370*(INDEX('GDP Deflator'!$D$6:$D$91,MATCH('IEPR Gas Prices Nominal'!$B368,'GDP Deflator'!$B$6:$B$91,0)))</f>
        <v>9.0314104887751725</v>
      </c>
      <c r="G368" s="91">
        <f>'IEPR Gas Prices Real'!G370*(INDEX('GDP Deflator'!$D$6:$D$91,MATCH('IEPR Gas Prices Nominal'!$B368,'GDP Deflator'!$B$6:$B$91,0)))</f>
        <v>5.3468659994808965</v>
      </c>
      <c r="H368" s="91">
        <f>'IEPR Gas Prices Real'!H370*(INDEX('GDP Deflator'!$D$6:$D$91,MATCH('IEPR Gas Prices Nominal'!$B368,'GDP Deflator'!$B$6:$B$91,0)))</f>
        <v>14.37827648825607</v>
      </c>
      <c r="I368" s="91">
        <f>'IEPR Gas Prices Real'!I370*(INDEX('GDP Deflator'!$D$6:$D$91,MATCH('IEPR Gas Prices Nominal'!$B368,'GDP Deflator'!$B$6:$B$91,0)))</f>
        <v>9.4591215203908945</v>
      </c>
      <c r="J368" s="91">
        <f>'IEPR Gas Prices Real'!J370*(INDEX('GDP Deflator'!$D$6:$D$91,MATCH('IEPR Gas Prices Nominal'!$B368,'GDP Deflator'!$B$6:$B$91,0)))</f>
        <v>8.8404531926841781</v>
      </c>
      <c r="K368" s="91">
        <f>'IEPR Gas Prices Real'!K370*(INDEX('GDP Deflator'!$D$6:$D$91,MATCH('IEPR Gas Prices Nominal'!$B368,'GDP Deflator'!$B$6:$B$91,0)))</f>
        <v>18.299574713075071</v>
      </c>
      <c r="L368" s="91">
        <f>'IEPR Gas Prices Real'!L370*(INDEX('GDP Deflator'!$D$6:$D$91,MATCH('IEPR Gas Prices Nominal'!$B368,'GDP Deflator'!$B$6:$B$91,0)))</f>
        <v>9.8060453844530038</v>
      </c>
      <c r="M368" s="91">
        <f>'IEPR Gas Prices Real'!M370*(INDEX('GDP Deflator'!$D$6:$D$91,MATCH('IEPR Gas Prices Nominal'!$B368,'GDP Deflator'!$B$6:$B$91,0)))</f>
        <v>4.1749401536971069</v>
      </c>
      <c r="N368" s="91">
        <f>'IEPR Gas Prices Real'!N370*(INDEX('GDP Deflator'!$D$6:$D$91,MATCH('IEPR Gas Prices Nominal'!$B368,'GDP Deflator'!$B$6:$B$91,0)))</f>
        <v>13.980985538150112</v>
      </c>
      <c r="O368" s="19"/>
      <c r="P368" s="229">
        <f t="shared" si="32"/>
        <v>9.4321924645396908</v>
      </c>
      <c r="Q368" s="229">
        <f t="shared" si="36"/>
        <v>15.552945579827082</v>
      </c>
      <c r="R368" s="144"/>
    </row>
    <row r="369" spans="2:18">
      <c r="B369" s="142">
        <f t="shared" si="33"/>
        <v>2052</v>
      </c>
      <c r="C369" s="19">
        <f t="shared" si="34"/>
        <v>4</v>
      </c>
      <c r="D369" s="143">
        <v>55610</v>
      </c>
      <c r="E369" s="19" t="str">
        <f t="shared" si="35"/>
        <v>4-2052</v>
      </c>
      <c r="F369" s="91">
        <f>'IEPR Gas Prices Real'!F371*(INDEX('GDP Deflator'!$D$6:$D$91,MATCH('IEPR Gas Prices Nominal'!$B369,'GDP Deflator'!$B$6:$B$91,0)))</f>
        <v>8.8778243403459332</v>
      </c>
      <c r="G369" s="91">
        <f>'IEPR Gas Prices Real'!G371*(INDEX('GDP Deflator'!$D$6:$D$91,MATCH('IEPR Gas Prices Nominal'!$B369,'GDP Deflator'!$B$6:$B$91,0)))</f>
        <v>5.3468659994808965</v>
      </c>
      <c r="H369" s="91">
        <f>'IEPR Gas Prices Real'!H371*(INDEX('GDP Deflator'!$D$6:$D$91,MATCH('IEPR Gas Prices Nominal'!$B369,'GDP Deflator'!$B$6:$B$91,0)))</f>
        <v>14.224690339826831</v>
      </c>
      <c r="I369" s="91">
        <f>'IEPR Gas Prices Real'!I371*(INDEX('GDP Deflator'!$D$6:$D$91,MATCH('IEPR Gas Prices Nominal'!$B369,'GDP Deflator'!$B$6:$B$91,0)))</f>
        <v>9.298126229531178</v>
      </c>
      <c r="J369" s="91">
        <f>'IEPR Gas Prices Real'!J371*(INDEX('GDP Deflator'!$D$6:$D$91,MATCH('IEPR Gas Prices Nominal'!$B369,'GDP Deflator'!$B$6:$B$91,0)))</f>
        <v>8.8404531926841781</v>
      </c>
      <c r="K369" s="91">
        <f>'IEPR Gas Prices Real'!K371*(INDEX('GDP Deflator'!$D$6:$D$91,MATCH('IEPR Gas Prices Nominal'!$B369,'GDP Deflator'!$B$6:$B$91,0)))</f>
        <v>18.138579422215358</v>
      </c>
      <c r="L369" s="91">
        <f>'IEPR Gas Prices Real'!L371*(INDEX('GDP Deflator'!$D$6:$D$91,MATCH('IEPR Gas Prices Nominal'!$B369,'GDP Deflator'!$B$6:$B$91,0)))</f>
        <v>9.6391488480616374</v>
      </c>
      <c r="M369" s="91">
        <f>'IEPR Gas Prices Real'!M371*(INDEX('GDP Deflator'!$D$6:$D$91,MATCH('IEPR Gas Prices Nominal'!$B369,'GDP Deflator'!$B$6:$B$91,0)))</f>
        <v>4.1749401536971069</v>
      </c>
      <c r="N369" s="91">
        <f>'IEPR Gas Prices Real'!N371*(INDEX('GDP Deflator'!$D$6:$D$91,MATCH('IEPR Gas Prices Nominal'!$B369,'GDP Deflator'!$B$6:$B$91,0)))</f>
        <v>13.814089001758743</v>
      </c>
      <c r="O369" s="19"/>
      <c r="P369" s="229">
        <f t="shared" si="32"/>
        <v>9.2716998059795817</v>
      </c>
      <c r="Q369" s="229">
        <f t="shared" si="36"/>
        <v>15.392452921266978</v>
      </c>
      <c r="R369" s="144"/>
    </row>
    <row r="370" spans="2:18">
      <c r="B370" s="142">
        <f t="shared" si="33"/>
        <v>2052</v>
      </c>
      <c r="C370" s="19">
        <f t="shared" si="34"/>
        <v>5</v>
      </c>
      <c r="D370" s="143">
        <v>55640</v>
      </c>
      <c r="E370" s="19" t="str">
        <f t="shared" si="35"/>
        <v>5-2052</v>
      </c>
      <c r="F370" s="91">
        <f>'IEPR Gas Prices Real'!F372*(INDEX('GDP Deflator'!$D$6:$D$91,MATCH('IEPR Gas Prices Nominal'!$B370,'GDP Deflator'!$B$6:$B$91,0)))</f>
        <v>9.1868892473767438</v>
      </c>
      <c r="G370" s="91">
        <f>'IEPR Gas Prices Real'!G372*(INDEX('GDP Deflator'!$D$6:$D$91,MATCH('IEPR Gas Prices Nominal'!$B370,'GDP Deflator'!$B$6:$B$91,0)))</f>
        <v>5.3468659994808965</v>
      </c>
      <c r="H370" s="91">
        <f>'IEPR Gas Prices Real'!H372*(INDEX('GDP Deflator'!$D$6:$D$91,MATCH('IEPR Gas Prices Nominal'!$B370,'GDP Deflator'!$B$6:$B$91,0)))</f>
        <v>14.533755246857639</v>
      </c>
      <c r="I370" s="91">
        <f>'IEPR Gas Prices Real'!I372*(INDEX('GDP Deflator'!$D$6:$D$91,MATCH('IEPR Gas Prices Nominal'!$B370,'GDP Deflator'!$B$6:$B$91,0)))</f>
        <v>9.6216828501999707</v>
      </c>
      <c r="J370" s="91">
        <f>'IEPR Gas Prices Real'!J372*(INDEX('GDP Deflator'!$D$6:$D$91,MATCH('IEPR Gas Prices Nominal'!$B370,'GDP Deflator'!$B$6:$B$91,0)))</f>
        <v>8.8404531926841781</v>
      </c>
      <c r="K370" s="91">
        <f>'IEPR Gas Prices Real'!K372*(INDEX('GDP Deflator'!$D$6:$D$91,MATCH('IEPR Gas Prices Nominal'!$B370,'GDP Deflator'!$B$6:$B$91,0)))</f>
        <v>18.462136042884151</v>
      </c>
      <c r="L370" s="91">
        <f>'IEPR Gas Prices Real'!L372*(INDEX('GDP Deflator'!$D$6:$D$91,MATCH('IEPR Gas Prices Nominal'!$B370,'GDP Deflator'!$B$6:$B$91,0)))</f>
        <v>9.9745759461643768</v>
      </c>
      <c r="M370" s="91">
        <f>'IEPR Gas Prices Real'!M372*(INDEX('GDP Deflator'!$D$6:$D$91,MATCH('IEPR Gas Prices Nominal'!$B370,'GDP Deflator'!$B$6:$B$91,0)))</f>
        <v>4.1749401536971069</v>
      </c>
      <c r="N370" s="91">
        <f>'IEPR Gas Prices Real'!N372*(INDEX('GDP Deflator'!$D$6:$D$91,MATCH('IEPR Gas Prices Nominal'!$B370,'GDP Deflator'!$B$6:$B$91,0)))</f>
        <v>14.149516099861485</v>
      </c>
      <c r="O370" s="19"/>
      <c r="P370" s="229">
        <f t="shared" si="32"/>
        <v>9.5943826812470316</v>
      </c>
      <c r="Q370" s="229">
        <f t="shared" si="36"/>
        <v>15.715135796534426</v>
      </c>
      <c r="R370" s="144"/>
    </row>
    <row r="371" spans="2:18">
      <c r="B371" s="142">
        <f t="shared" si="33"/>
        <v>2052</v>
      </c>
      <c r="C371" s="19">
        <f t="shared" si="34"/>
        <v>6</v>
      </c>
      <c r="D371" s="143">
        <v>55671</v>
      </c>
      <c r="E371" s="19" t="str">
        <f t="shared" si="35"/>
        <v>6-2052</v>
      </c>
      <c r="F371" s="91">
        <f>'IEPR Gas Prices Real'!F373*(INDEX('GDP Deflator'!$D$6:$D$91,MATCH('IEPR Gas Prices Nominal'!$B371,'GDP Deflator'!$B$6:$B$91,0)))</f>
        <v>9.4244833141165696</v>
      </c>
      <c r="G371" s="91">
        <f>'IEPR Gas Prices Real'!G373*(INDEX('GDP Deflator'!$D$6:$D$91,MATCH('IEPR Gas Prices Nominal'!$B371,'GDP Deflator'!$B$6:$B$91,0)))</f>
        <v>5.3468659994808965</v>
      </c>
      <c r="H371" s="91">
        <f>'IEPR Gas Prices Real'!H373*(INDEX('GDP Deflator'!$D$6:$D$91,MATCH('IEPR Gas Prices Nominal'!$B371,'GDP Deflator'!$B$6:$B$91,0)))</f>
        <v>14.771349313597467</v>
      </c>
      <c r="I371" s="91">
        <f>'IEPR Gas Prices Real'!I373*(INDEX('GDP Deflator'!$D$6:$D$91,MATCH('IEPR Gas Prices Nominal'!$B371,'GDP Deflator'!$B$6:$B$91,0)))</f>
        <v>9.8703777274358835</v>
      </c>
      <c r="J371" s="91">
        <f>'IEPR Gas Prices Real'!J373*(INDEX('GDP Deflator'!$D$6:$D$91,MATCH('IEPR Gas Prices Nominal'!$B371,'GDP Deflator'!$B$6:$B$91,0)))</f>
        <v>8.8404531926841781</v>
      </c>
      <c r="K371" s="91">
        <f>'IEPR Gas Prices Real'!K373*(INDEX('GDP Deflator'!$D$6:$D$91,MATCH('IEPR Gas Prices Nominal'!$B371,'GDP Deflator'!$B$6:$B$91,0)))</f>
        <v>18.710830920120063</v>
      </c>
      <c r="L371" s="91">
        <f>'IEPR Gas Prices Real'!L373*(INDEX('GDP Deflator'!$D$6:$D$91,MATCH('IEPR Gas Prices Nominal'!$B371,'GDP Deflator'!$B$6:$B$91,0)))</f>
        <v>10.232395819177469</v>
      </c>
      <c r="M371" s="91">
        <f>'IEPR Gas Prices Real'!M373*(INDEX('GDP Deflator'!$D$6:$D$91,MATCH('IEPR Gas Prices Nominal'!$B371,'GDP Deflator'!$B$6:$B$91,0)))</f>
        <v>4.1749401536971069</v>
      </c>
      <c r="N371" s="91">
        <f>'IEPR Gas Prices Real'!N373*(INDEX('GDP Deflator'!$D$6:$D$91,MATCH('IEPR Gas Prices Nominal'!$B371,'GDP Deflator'!$B$6:$B$91,0)))</f>
        <v>14.407335972874575</v>
      </c>
      <c r="O371" s="19"/>
      <c r="P371" s="229">
        <f t="shared" si="32"/>
        <v>9.8424189535766402</v>
      </c>
      <c r="Q371" s="229">
        <f t="shared" si="36"/>
        <v>15.963172068864035</v>
      </c>
      <c r="R371" s="144"/>
    </row>
    <row r="372" spans="2:18">
      <c r="B372" s="142">
        <f t="shared" si="33"/>
        <v>2052</v>
      </c>
      <c r="C372" s="19">
        <f t="shared" si="34"/>
        <v>7</v>
      </c>
      <c r="D372" s="143">
        <v>55701</v>
      </c>
      <c r="E372" s="19" t="str">
        <f t="shared" si="35"/>
        <v>7-2052</v>
      </c>
      <c r="F372" s="91">
        <f>'IEPR Gas Prices Real'!F374*(INDEX('GDP Deflator'!$D$6:$D$91,MATCH('IEPR Gas Prices Nominal'!$B372,'GDP Deflator'!$B$6:$B$91,0)))</f>
        <v>9.4993471092919286</v>
      </c>
      <c r="G372" s="91">
        <f>'IEPR Gas Prices Real'!G374*(INDEX('GDP Deflator'!$D$6:$D$91,MATCH('IEPR Gas Prices Nominal'!$B372,'GDP Deflator'!$B$6:$B$91,0)))</f>
        <v>5.3468659994808965</v>
      </c>
      <c r="H372" s="91">
        <f>'IEPR Gas Prices Real'!H374*(INDEX('GDP Deflator'!$D$6:$D$91,MATCH('IEPR Gas Prices Nominal'!$B372,'GDP Deflator'!$B$6:$B$91,0)))</f>
        <v>14.846213108772824</v>
      </c>
      <c r="I372" s="91">
        <f>'IEPR Gas Prices Real'!I374*(INDEX('GDP Deflator'!$D$6:$D$91,MATCH('IEPR Gas Prices Nominal'!$B372,'GDP Deflator'!$B$6:$B$91,0)))</f>
        <v>9.9486384004805224</v>
      </c>
      <c r="J372" s="91">
        <f>'IEPR Gas Prices Real'!J374*(INDEX('GDP Deflator'!$D$6:$D$91,MATCH('IEPR Gas Prices Nominal'!$B372,'GDP Deflator'!$B$6:$B$91,0)))</f>
        <v>8.8404531926841781</v>
      </c>
      <c r="K372" s="91">
        <f>'IEPR Gas Prices Real'!K374*(INDEX('GDP Deflator'!$D$6:$D$91,MATCH('IEPR Gas Prices Nominal'!$B372,'GDP Deflator'!$B$6:$B$91,0)))</f>
        <v>18.789091593164702</v>
      </c>
      <c r="L372" s="91">
        <f>'IEPR Gas Prices Real'!L374*(INDEX('GDP Deflator'!$D$6:$D$91,MATCH('IEPR Gas Prices Nominal'!$B372,'GDP Deflator'!$B$6:$B$91,0)))</f>
        <v>10.313530555094371</v>
      </c>
      <c r="M372" s="91">
        <f>'IEPR Gas Prices Real'!M374*(INDEX('GDP Deflator'!$D$6:$D$91,MATCH('IEPR Gas Prices Nominal'!$B372,'GDP Deflator'!$B$6:$B$91,0)))</f>
        <v>4.1749401536971069</v>
      </c>
      <c r="N372" s="91">
        <f>'IEPR Gas Prices Real'!N374*(INDEX('GDP Deflator'!$D$6:$D$91,MATCH('IEPR Gas Prices Nominal'!$B372,'GDP Deflator'!$B$6:$B$91,0)))</f>
        <v>14.488470708791477</v>
      </c>
      <c r="O372" s="19"/>
      <c r="P372" s="229">
        <f t="shared" si="32"/>
        <v>9.9205053549556066</v>
      </c>
      <c r="Q372" s="229">
        <f t="shared" si="36"/>
        <v>16.041258470243001</v>
      </c>
      <c r="R372" s="144"/>
    </row>
    <row r="373" spans="2:18">
      <c r="B373" s="142">
        <f t="shared" si="33"/>
        <v>2052</v>
      </c>
      <c r="C373" s="19">
        <f t="shared" si="34"/>
        <v>8</v>
      </c>
      <c r="D373" s="143">
        <v>55732</v>
      </c>
      <c r="E373" s="19" t="str">
        <f t="shared" si="35"/>
        <v>8-2052</v>
      </c>
      <c r="F373" s="91">
        <f>'IEPR Gas Prices Real'!F375*(INDEX('GDP Deflator'!$D$6:$D$91,MATCH('IEPR Gas Prices Nominal'!$B373,'GDP Deflator'!$B$6:$B$91,0)))</f>
        <v>9.4260679876419946</v>
      </c>
      <c r="G373" s="91">
        <f>'IEPR Gas Prices Real'!G375*(INDEX('GDP Deflator'!$D$6:$D$91,MATCH('IEPR Gas Prices Nominal'!$B373,'GDP Deflator'!$B$6:$B$91,0)))</f>
        <v>5.3468659994808965</v>
      </c>
      <c r="H373" s="91">
        <f>'IEPR Gas Prices Real'!H375*(INDEX('GDP Deflator'!$D$6:$D$91,MATCH('IEPR Gas Prices Nominal'!$B373,'GDP Deflator'!$B$6:$B$91,0)))</f>
        <v>14.772933987122892</v>
      </c>
      <c r="I373" s="91">
        <f>'IEPR Gas Prices Real'!I375*(INDEX('GDP Deflator'!$D$6:$D$91,MATCH('IEPR Gas Prices Nominal'!$B373,'GDP Deflator'!$B$6:$B$91,0)))</f>
        <v>9.8717493973486352</v>
      </c>
      <c r="J373" s="91">
        <f>'IEPR Gas Prices Real'!J375*(INDEX('GDP Deflator'!$D$6:$D$91,MATCH('IEPR Gas Prices Nominal'!$B373,'GDP Deflator'!$B$6:$B$91,0)))</f>
        <v>8.8404531926841781</v>
      </c>
      <c r="K373" s="91">
        <f>'IEPR Gas Prices Real'!K375*(INDEX('GDP Deflator'!$D$6:$D$91,MATCH('IEPR Gas Prices Nominal'!$B373,'GDP Deflator'!$B$6:$B$91,0)))</f>
        <v>18.712202590032813</v>
      </c>
      <c r="L373" s="91">
        <f>'IEPR Gas Prices Real'!L375*(INDEX('GDP Deflator'!$D$6:$D$91,MATCH('IEPR Gas Prices Nominal'!$B373,'GDP Deflator'!$B$6:$B$91,0)))</f>
        <v>10.233825098309989</v>
      </c>
      <c r="M373" s="91">
        <f>'IEPR Gas Prices Real'!M375*(INDEX('GDP Deflator'!$D$6:$D$91,MATCH('IEPR Gas Prices Nominal'!$B373,'GDP Deflator'!$B$6:$B$91,0)))</f>
        <v>4.1749401536971069</v>
      </c>
      <c r="N373" s="91">
        <f>'IEPR Gas Prices Real'!N375*(INDEX('GDP Deflator'!$D$6:$D$91,MATCH('IEPR Gas Prices Nominal'!$B373,'GDP Deflator'!$B$6:$B$91,0)))</f>
        <v>14.408765252007099</v>
      </c>
      <c r="O373" s="19"/>
      <c r="P373" s="229">
        <f t="shared" si="32"/>
        <v>9.8438808277668723</v>
      </c>
      <c r="Q373" s="229">
        <f t="shared" si="36"/>
        <v>15.964633943054269</v>
      </c>
      <c r="R373" s="144"/>
    </row>
    <row r="374" spans="2:18">
      <c r="B374" s="142">
        <f t="shared" si="33"/>
        <v>2052</v>
      </c>
      <c r="C374" s="19">
        <f t="shared" si="34"/>
        <v>9</v>
      </c>
      <c r="D374" s="143">
        <v>55763</v>
      </c>
      <c r="E374" s="19" t="str">
        <f t="shared" si="35"/>
        <v>9-2052</v>
      </c>
      <c r="F374" s="91">
        <f>'IEPR Gas Prices Real'!F376*(INDEX('GDP Deflator'!$D$6:$D$91,MATCH('IEPR Gas Prices Nominal'!$B374,'GDP Deflator'!$B$6:$B$91,0)))</f>
        <v>9.5587499509135814</v>
      </c>
      <c r="G374" s="91">
        <f>'IEPR Gas Prices Real'!G376*(INDEX('GDP Deflator'!$D$6:$D$91,MATCH('IEPR Gas Prices Nominal'!$B374,'GDP Deflator'!$B$6:$B$91,0)))</f>
        <v>5.3468659994808965</v>
      </c>
      <c r="H374" s="91">
        <f>'IEPR Gas Prices Real'!H376*(INDEX('GDP Deflator'!$D$6:$D$91,MATCH('IEPR Gas Prices Nominal'!$B374,'GDP Deflator'!$B$6:$B$91,0)))</f>
        <v>14.905615950394477</v>
      </c>
      <c r="I374" s="91">
        <f>'IEPR Gas Prices Real'!I376*(INDEX('GDP Deflator'!$D$6:$D$91,MATCH('IEPR Gas Prices Nominal'!$B374,'GDP Deflator'!$B$6:$B$91,0)))</f>
        <v>10.010558772115731</v>
      </c>
      <c r="J374" s="91">
        <f>'IEPR Gas Prices Real'!J376*(INDEX('GDP Deflator'!$D$6:$D$91,MATCH('IEPR Gas Prices Nominal'!$B374,'GDP Deflator'!$B$6:$B$91,0)))</f>
        <v>8.8404531926841781</v>
      </c>
      <c r="K374" s="91">
        <f>'IEPR Gas Prices Real'!K376*(INDEX('GDP Deflator'!$D$6:$D$91,MATCH('IEPR Gas Prices Nominal'!$B374,'GDP Deflator'!$B$6:$B$91,0)))</f>
        <v>18.851011964799913</v>
      </c>
      <c r="L374" s="91">
        <f>'IEPR Gas Prices Real'!L376*(INDEX('GDP Deflator'!$D$6:$D$91,MATCH('IEPR Gas Prices Nominal'!$B374,'GDP Deflator'!$B$6:$B$91,0)))</f>
        <v>10.37772942070135</v>
      </c>
      <c r="M374" s="91">
        <f>'IEPR Gas Prices Real'!M376*(INDEX('GDP Deflator'!$D$6:$D$91,MATCH('IEPR Gas Prices Nominal'!$B374,'GDP Deflator'!$B$6:$B$91,0)))</f>
        <v>4.1749401536971069</v>
      </c>
      <c r="N374" s="91">
        <f>'IEPR Gas Prices Real'!N376*(INDEX('GDP Deflator'!$D$6:$D$91,MATCH('IEPR Gas Prices Nominal'!$B374,'GDP Deflator'!$B$6:$B$91,0)))</f>
        <v>14.552669574398458</v>
      </c>
      <c r="O374" s="19"/>
      <c r="P374" s="229">
        <f t="shared" si="32"/>
        <v>9.9823460479102213</v>
      </c>
      <c r="Q374" s="229">
        <f t="shared" si="36"/>
        <v>16.103099163197616</v>
      </c>
      <c r="R374" s="144"/>
    </row>
    <row r="375" spans="2:18">
      <c r="B375" s="142">
        <f t="shared" si="33"/>
        <v>2052</v>
      </c>
      <c r="C375" s="19">
        <f t="shared" si="34"/>
        <v>10</v>
      </c>
      <c r="D375" s="143">
        <v>55793</v>
      </c>
      <c r="E375" s="19" t="str">
        <f t="shared" si="35"/>
        <v>10-2052</v>
      </c>
      <c r="F375" s="91">
        <f>'IEPR Gas Prices Real'!F377*(INDEX('GDP Deflator'!$D$6:$D$91,MATCH('IEPR Gas Prices Nominal'!$B375,'GDP Deflator'!$B$6:$B$91,0)))</f>
        <v>9.5037631273538477</v>
      </c>
      <c r="G375" s="91">
        <f>'IEPR Gas Prices Real'!G377*(INDEX('GDP Deflator'!$D$6:$D$91,MATCH('IEPR Gas Prices Nominal'!$B375,'GDP Deflator'!$B$6:$B$91,0)))</f>
        <v>5.3468659994808965</v>
      </c>
      <c r="H375" s="91">
        <f>'IEPR Gas Prices Real'!H377*(INDEX('GDP Deflator'!$D$6:$D$91,MATCH('IEPR Gas Prices Nominal'!$B375,'GDP Deflator'!$B$6:$B$91,0)))</f>
        <v>14.850629126834745</v>
      </c>
      <c r="I375" s="91">
        <f>'IEPR Gas Prices Real'!I377*(INDEX('GDP Deflator'!$D$6:$D$91,MATCH('IEPR Gas Prices Nominal'!$B375,'GDP Deflator'!$B$6:$B$91,0)))</f>
        <v>9.9528277138902368</v>
      </c>
      <c r="J375" s="91">
        <f>'IEPR Gas Prices Real'!J377*(INDEX('GDP Deflator'!$D$6:$D$91,MATCH('IEPR Gas Prices Nominal'!$B375,'GDP Deflator'!$B$6:$B$91,0)))</f>
        <v>8.8404531926841781</v>
      </c>
      <c r="K375" s="91">
        <f>'IEPR Gas Prices Real'!K377*(INDEX('GDP Deflator'!$D$6:$D$91,MATCH('IEPR Gas Prices Nominal'!$B375,'GDP Deflator'!$B$6:$B$91,0)))</f>
        <v>18.793280906574417</v>
      </c>
      <c r="L375" s="91">
        <f>'IEPR Gas Prices Real'!L377*(INDEX('GDP Deflator'!$D$6:$D$91,MATCH('IEPR Gas Prices Nominal'!$B375,'GDP Deflator'!$B$6:$B$91,0)))</f>
        <v>10.317884564181234</v>
      </c>
      <c r="M375" s="91">
        <f>'IEPR Gas Prices Real'!M377*(INDEX('GDP Deflator'!$D$6:$D$91,MATCH('IEPR Gas Prices Nominal'!$B375,'GDP Deflator'!$B$6:$B$91,0)))</f>
        <v>4.1749401536971069</v>
      </c>
      <c r="N375" s="91">
        <f>'IEPR Gas Prices Real'!N377*(INDEX('GDP Deflator'!$D$6:$D$91,MATCH('IEPR Gas Prices Nominal'!$B375,'GDP Deflator'!$B$6:$B$91,0)))</f>
        <v>14.492824717878342</v>
      </c>
      <c r="O375" s="19"/>
      <c r="P375" s="229">
        <f t="shared" si="32"/>
        <v>9.9248251351417736</v>
      </c>
      <c r="Q375" s="229">
        <f t="shared" si="36"/>
        <v>16.04557825042917</v>
      </c>
      <c r="R375" s="144"/>
    </row>
    <row r="376" spans="2:18">
      <c r="B376" s="142">
        <f t="shared" si="33"/>
        <v>2052</v>
      </c>
      <c r="C376" s="19">
        <f t="shared" si="34"/>
        <v>11</v>
      </c>
      <c r="D376" s="143">
        <v>55824</v>
      </c>
      <c r="E376" s="19" t="str">
        <f t="shared" si="35"/>
        <v>11-2052</v>
      </c>
      <c r="F376" s="91">
        <f>'IEPR Gas Prices Real'!F378*(INDEX('GDP Deflator'!$D$6:$D$91,MATCH('IEPR Gas Prices Nominal'!$B376,'GDP Deflator'!$B$6:$B$91,0)))</f>
        <v>9.9736044077665351</v>
      </c>
      <c r="G376" s="91">
        <f>'IEPR Gas Prices Real'!G378*(INDEX('GDP Deflator'!$D$6:$D$91,MATCH('IEPR Gas Prices Nominal'!$B376,'GDP Deflator'!$B$6:$B$91,0)))</f>
        <v>5.3468659994808965</v>
      </c>
      <c r="H376" s="91">
        <f>'IEPR Gas Prices Real'!H378*(INDEX('GDP Deflator'!$D$6:$D$91,MATCH('IEPR Gas Prices Nominal'!$B376,'GDP Deflator'!$B$6:$B$91,0)))</f>
        <v>15.320470407247431</v>
      </c>
      <c r="I376" s="91">
        <f>'IEPR Gas Prices Real'!I378*(INDEX('GDP Deflator'!$D$6:$D$91,MATCH('IEPR Gas Prices Nominal'!$B376,'GDP Deflator'!$B$6:$B$91,0)))</f>
        <v>10.444717190163718</v>
      </c>
      <c r="J376" s="91">
        <f>'IEPR Gas Prices Real'!J378*(INDEX('GDP Deflator'!$D$6:$D$91,MATCH('IEPR Gas Prices Nominal'!$B376,'GDP Deflator'!$B$6:$B$91,0)))</f>
        <v>8.8404531926841781</v>
      </c>
      <c r="K376" s="91">
        <f>'IEPR Gas Prices Real'!K378*(INDEX('GDP Deflator'!$D$6:$D$91,MATCH('IEPR Gas Prices Nominal'!$B376,'GDP Deflator'!$B$6:$B$91,0)))</f>
        <v>19.285170382847898</v>
      </c>
      <c r="L376" s="91">
        <f>'IEPR Gas Prices Real'!L378*(INDEX('GDP Deflator'!$D$6:$D$91,MATCH('IEPR Gas Prices Nominal'!$B376,'GDP Deflator'!$B$6:$B$91,0)))</f>
        <v>10.827819773562835</v>
      </c>
      <c r="M376" s="91">
        <f>'IEPR Gas Prices Real'!M378*(INDEX('GDP Deflator'!$D$6:$D$91,MATCH('IEPR Gas Prices Nominal'!$B376,'GDP Deflator'!$B$6:$B$91,0)))</f>
        <v>4.1749401536971069</v>
      </c>
      <c r="N376" s="91">
        <f>'IEPR Gas Prices Real'!N378*(INDEX('GDP Deflator'!$D$6:$D$91,MATCH('IEPR Gas Prices Nominal'!$B376,'GDP Deflator'!$B$6:$B$91,0)))</f>
        <v>15.002759927259941</v>
      </c>
      <c r="O376" s="19"/>
      <c r="P376" s="229">
        <f t="shared" si="32"/>
        <v>10.415380457164362</v>
      </c>
      <c r="Q376" s="229">
        <f t="shared" si="36"/>
        <v>16.536133572451757</v>
      </c>
      <c r="R376" s="144"/>
    </row>
    <row r="377" spans="2:18">
      <c r="B377" s="142">
        <f t="shared" si="33"/>
        <v>2052</v>
      </c>
      <c r="C377" s="19">
        <f t="shared" si="34"/>
        <v>12</v>
      </c>
      <c r="D377" s="143">
        <v>55854</v>
      </c>
      <c r="E377" s="19" t="str">
        <f t="shared" si="35"/>
        <v>12-2052</v>
      </c>
      <c r="F377" s="91">
        <f>'IEPR Gas Prices Real'!F379*(INDEX('GDP Deflator'!$D$6:$D$91,MATCH('IEPR Gas Prices Nominal'!$B377,'GDP Deflator'!$B$6:$B$91,0)))</f>
        <v>10.053927916696988</v>
      </c>
      <c r="G377" s="91">
        <f>'IEPR Gas Prices Real'!G379*(INDEX('GDP Deflator'!$D$6:$D$91,MATCH('IEPR Gas Prices Nominal'!$B377,'GDP Deflator'!$B$6:$B$91,0)))</f>
        <v>5.3468659994808965</v>
      </c>
      <c r="H377" s="91">
        <f>'IEPR Gas Prices Real'!H379*(INDEX('GDP Deflator'!$D$6:$D$91,MATCH('IEPR Gas Prices Nominal'!$B377,'GDP Deflator'!$B$6:$B$91,0)))</f>
        <v>15.400793916177886</v>
      </c>
      <c r="I377" s="91">
        <f>'IEPR Gas Prices Real'!I379*(INDEX('GDP Deflator'!$D$6:$D$91,MATCH('IEPR Gas Prices Nominal'!$B377,'GDP Deflator'!$B$6:$B$91,0)))</f>
        <v>10.528681233205132</v>
      </c>
      <c r="J377" s="91">
        <f>'IEPR Gas Prices Real'!J379*(INDEX('GDP Deflator'!$D$6:$D$91,MATCH('IEPR Gas Prices Nominal'!$B377,'GDP Deflator'!$B$6:$B$91,0)))</f>
        <v>8.8404531926841781</v>
      </c>
      <c r="K377" s="91">
        <f>'IEPR Gas Prices Real'!K379*(INDEX('GDP Deflator'!$D$6:$D$91,MATCH('IEPR Gas Prices Nominal'!$B377,'GDP Deflator'!$B$6:$B$91,0)))</f>
        <v>19.36913442588931</v>
      </c>
      <c r="L377" s="91">
        <f>'IEPR Gas Prices Real'!L379*(INDEX('GDP Deflator'!$D$6:$D$91,MATCH('IEPR Gas Prices Nominal'!$B377,'GDP Deflator'!$B$6:$B$91,0)))</f>
        <v>10.914867434792805</v>
      </c>
      <c r="M377" s="91">
        <f>'IEPR Gas Prices Real'!M379*(INDEX('GDP Deflator'!$D$6:$D$91,MATCH('IEPR Gas Prices Nominal'!$B377,'GDP Deflator'!$B$6:$B$91,0)))</f>
        <v>4.1749401536971069</v>
      </c>
      <c r="N377" s="91">
        <f>'IEPR Gas Prices Real'!N379*(INDEX('GDP Deflator'!$D$6:$D$91,MATCH('IEPR Gas Prices Nominal'!$B377,'GDP Deflator'!$B$6:$B$91,0)))</f>
        <v>15.089807588489915</v>
      </c>
      <c r="O377" s="19"/>
      <c r="P377" s="229">
        <f t="shared" si="32"/>
        <v>10.499158861564974</v>
      </c>
      <c r="Q377" s="229">
        <f t="shared" si="36"/>
        <v>16.619911976852368</v>
      </c>
      <c r="R377" s="144"/>
    </row>
    <row r="378" spans="2:18">
      <c r="B378" s="142">
        <f t="shared" si="33"/>
        <v>2053</v>
      </c>
      <c r="C378" s="19">
        <f t="shared" si="34"/>
        <v>1</v>
      </c>
      <c r="D378" s="143">
        <v>55885</v>
      </c>
      <c r="E378" s="19" t="str">
        <f t="shared" si="35"/>
        <v>1-2053</v>
      </c>
      <c r="F378" s="91">
        <f>'IEPR Gas Prices Real'!F380*(INDEX('GDP Deflator'!$D$6:$D$91,MATCH('IEPR Gas Prices Nominal'!$B378,'GDP Deflator'!$B$6:$B$91,0)))</f>
        <v>10.263337290123351</v>
      </c>
      <c r="G378" s="91">
        <f>'IEPR Gas Prices Real'!G380*(INDEX('GDP Deflator'!$D$6:$D$91,MATCH('IEPR Gas Prices Nominal'!$B378,'GDP Deflator'!$B$6:$B$91,0)))</f>
        <v>5.67538347585403</v>
      </c>
      <c r="H378" s="91">
        <f>'IEPR Gas Prices Real'!H380*(INDEX('GDP Deflator'!$D$6:$D$91,MATCH('IEPR Gas Prices Nominal'!$B378,'GDP Deflator'!$B$6:$B$91,0)))</f>
        <v>15.938720765977381</v>
      </c>
      <c r="I378" s="91">
        <f>'IEPR Gas Prices Real'!I380*(INDEX('GDP Deflator'!$D$6:$D$91,MATCH('IEPR Gas Prices Nominal'!$B378,'GDP Deflator'!$B$6:$B$91,0)))</f>
        <v>10.747855126383666</v>
      </c>
      <c r="J378" s="91">
        <f>'IEPR Gas Prices Real'!J380*(INDEX('GDP Deflator'!$D$6:$D$91,MATCH('IEPR Gas Prices Nominal'!$B378,'GDP Deflator'!$B$6:$B$91,0)))</f>
        <v>9.3848394270926541</v>
      </c>
      <c r="K378" s="91">
        <f>'IEPR Gas Prices Real'!K380*(INDEX('GDP Deflator'!$D$6:$D$91,MATCH('IEPR Gas Prices Nominal'!$B378,'GDP Deflator'!$B$6:$B$91,0)))</f>
        <v>20.13269455347632</v>
      </c>
      <c r="L378" s="91">
        <f>'IEPR Gas Prices Real'!L380*(INDEX('GDP Deflator'!$D$6:$D$91,MATCH('IEPR Gas Prices Nominal'!$B378,'GDP Deflator'!$B$6:$B$91,0)))</f>
        <v>11.142081888204629</v>
      </c>
      <c r="M378" s="91">
        <f>'IEPR Gas Prices Real'!M380*(INDEX('GDP Deflator'!$D$6:$D$91,MATCH('IEPR Gas Prices Nominal'!$B378,'GDP Deflator'!$B$6:$B$91,0)))</f>
        <v>4.4320287779582177</v>
      </c>
      <c r="N378" s="91">
        <f>'IEPR Gas Prices Real'!N380*(INDEX('GDP Deflator'!$D$6:$D$91,MATCH('IEPR Gas Prices Nominal'!$B378,'GDP Deflator'!$B$6:$B$91,0)))</f>
        <v>15.574110666162845</v>
      </c>
      <c r="O378" s="19"/>
      <c r="P378" s="229">
        <f t="shared" si="32"/>
        <v>10.717758101570547</v>
      </c>
      <c r="Q378" s="229">
        <f t="shared" si="36"/>
        <v>17.215175328538848</v>
      </c>
      <c r="R378" s="144"/>
    </row>
    <row r="379" spans="2:18">
      <c r="B379" s="142">
        <f t="shared" si="33"/>
        <v>2053</v>
      </c>
      <c r="C379" s="19">
        <f t="shared" si="34"/>
        <v>2</v>
      </c>
      <c r="D379" s="143">
        <v>55916</v>
      </c>
      <c r="E379" s="19" t="str">
        <f t="shared" si="35"/>
        <v>2-2053</v>
      </c>
      <c r="F379" s="91">
        <f>'IEPR Gas Prices Real'!F381*(INDEX('GDP Deflator'!$D$6:$D$91,MATCH('IEPR Gas Prices Nominal'!$B379,'GDP Deflator'!$B$6:$B$91,0)))</f>
        <v>10.038509391983769</v>
      </c>
      <c r="G379" s="91">
        <f>'IEPR Gas Prices Real'!G381*(INDEX('GDP Deflator'!$D$6:$D$91,MATCH('IEPR Gas Prices Nominal'!$B379,'GDP Deflator'!$B$6:$B$91,0)))</f>
        <v>5.67538347585403</v>
      </c>
      <c r="H379" s="91">
        <f>'IEPR Gas Prices Real'!H381*(INDEX('GDP Deflator'!$D$6:$D$91,MATCH('IEPR Gas Prices Nominal'!$B379,'GDP Deflator'!$B$6:$B$91,0)))</f>
        <v>15.713892867837799</v>
      </c>
      <c r="I379" s="91">
        <f>'IEPR Gas Prices Real'!I381*(INDEX('GDP Deflator'!$D$6:$D$91,MATCH('IEPR Gas Prices Nominal'!$B379,'GDP Deflator'!$B$6:$B$91,0)))</f>
        <v>10.512292192983127</v>
      </c>
      <c r="J379" s="91">
        <f>'IEPR Gas Prices Real'!J381*(INDEX('GDP Deflator'!$D$6:$D$91,MATCH('IEPR Gas Prices Nominal'!$B379,'GDP Deflator'!$B$6:$B$91,0)))</f>
        <v>9.3848394270926541</v>
      </c>
      <c r="K379" s="91">
        <f>'IEPR Gas Prices Real'!K381*(INDEX('GDP Deflator'!$D$6:$D$91,MATCH('IEPR Gas Prices Nominal'!$B379,'GDP Deflator'!$B$6:$B$91,0)))</f>
        <v>19.897131620075783</v>
      </c>
      <c r="L379" s="91">
        <f>'IEPR Gas Prices Real'!L381*(INDEX('GDP Deflator'!$D$6:$D$91,MATCH('IEPR Gas Prices Nominal'!$B379,'GDP Deflator'!$B$6:$B$91,0)))</f>
        <v>10.897879959330268</v>
      </c>
      <c r="M379" s="91">
        <f>'IEPR Gas Prices Real'!M381*(INDEX('GDP Deflator'!$D$6:$D$91,MATCH('IEPR Gas Prices Nominal'!$B379,'GDP Deflator'!$B$6:$B$91,0)))</f>
        <v>4.4320287779582177</v>
      </c>
      <c r="N379" s="91">
        <f>'IEPR Gas Prices Real'!N381*(INDEX('GDP Deflator'!$D$6:$D$91,MATCH('IEPR Gas Prices Nominal'!$B379,'GDP Deflator'!$B$6:$B$91,0)))</f>
        <v>15.329908737288486</v>
      </c>
      <c r="O379" s="19"/>
      <c r="P379" s="229">
        <f t="shared" si="32"/>
        <v>10.482893848099055</v>
      </c>
      <c r="Q379" s="229">
        <f t="shared" si="36"/>
        <v>16.980311075067355</v>
      </c>
      <c r="R379" s="144"/>
    </row>
    <row r="380" spans="2:18">
      <c r="B380" s="142">
        <f t="shared" si="33"/>
        <v>2053</v>
      </c>
      <c r="C380" s="19">
        <f t="shared" si="34"/>
        <v>3</v>
      </c>
      <c r="D380" s="143">
        <v>55944</v>
      </c>
      <c r="E380" s="19" t="str">
        <f t="shared" si="35"/>
        <v>3-2053</v>
      </c>
      <c r="F380" s="91">
        <f>'IEPR Gas Prices Real'!F382*(INDEX('GDP Deflator'!$D$6:$D$91,MATCH('IEPR Gas Prices Nominal'!$B380,'GDP Deflator'!$B$6:$B$91,0)))</f>
        <v>9.2155579126698708</v>
      </c>
      <c r="G380" s="91">
        <f>'IEPR Gas Prices Real'!G382*(INDEX('GDP Deflator'!$D$6:$D$91,MATCH('IEPR Gas Prices Nominal'!$B380,'GDP Deflator'!$B$6:$B$91,0)))</f>
        <v>5.67538347585403</v>
      </c>
      <c r="H380" s="91">
        <f>'IEPR Gas Prices Real'!H382*(INDEX('GDP Deflator'!$D$6:$D$91,MATCH('IEPR Gas Prices Nominal'!$B380,'GDP Deflator'!$B$6:$B$91,0)))</f>
        <v>14.890941388523901</v>
      </c>
      <c r="I380" s="91">
        <f>'IEPR Gas Prices Real'!I382*(INDEX('GDP Deflator'!$D$6:$D$91,MATCH('IEPR Gas Prices Nominal'!$B380,'GDP Deflator'!$B$6:$B$91,0)))</f>
        <v>9.6503889693171647</v>
      </c>
      <c r="J380" s="91">
        <f>'IEPR Gas Prices Real'!J382*(INDEX('GDP Deflator'!$D$6:$D$91,MATCH('IEPR Gas Prices Nominal'!$B380,'GDP Deflator'!$B$6:$B$91,0)))</f>
        <v>9.3848394270926541</v>
      </c>
      <c r="K380" s="91">
        <f>'IEPR Gas Prices Real'!K382*(INDEX('GDP Deflator'!$D$6:$D$91,MATCH('IEPR Gas Prices Nominal'!$B380,'GDP Deflator'!$B$6:$B$91,0)))</f>
        <v>19.035228396409817</v>
      </c>
      <c r="L380" s="91">
        <f>'IEPR Gas Prices Real'!L382*(INDEX('GDP Deflator'!$D$6:$D$91,MATCH('IEPR Gas Prices Nominal'!$B380,'GDP Deflator'!$B$6:$B$91,0)))</f>
        <v>10.004363622563821</v>
      </c>
      <c r="M380" s="91">
        <f>'IEPR Gas Prices Real'!M382*(INDEX('GDP Deflator'!$D$6:$D$91,MATCH('IEPR Gas Prices Nominal'!$B380,'GDP Deflator'!$B$6:$B$91,0)))</f>
        <v>4.4320287779582177</v>
      </c>
      <c r="N380" s="91">
        <f>'IEPR Gas Prices Real'!N382*(INDEX('GDP Deflator'!$D$6:$D$91,MATCH('IEPR Gas Prices Nominal'!$B380,'GDP Deflator'!$B$6:$B$91,0)))</f>
        <v>14.436392400522038</v>
      </c>
      <c r="O380" s="19"/>
      <c r="P380" s="229">
        <f t="shared" si="32"/>
        <v>9.6234368348502866</v>
      </c>
      <c r="Q380" s="229">
        <f t="shared" si="36"/>
        <v>16.120854061818587</v>
      </c>
      <c r="R380" s="144"/>
    </row>
    <row r="381" spans="2:18">
      <c r="B381" s="142">
        <f t="shared" si="33"/>
        <v>2053</v>
      </c>
      <c r="C381" s="19">
        <f t="shared" si="34"/>
        <v>4</v>
      </c>
      <c r="D381" s="143">
        <v>55975</v>
      </c>
      <c r="E381" s="19" t="str">
        <f t="shared" si="35"/>
        <v>4-2053</v>
      </c>
      <c r="F381" s="91">
        <f>'IEPR Gas Prices Real'!F383*(INDEX('GDP Deflator'!$D$6:$D$91,MATCH('IEPR Gas Prices Nominal'!$B381,'GDP Deflator'!$B$6:$B$91,0)))</f>
        <v>9.058927482803</v>
      </c>
      <c r="G381" s="91">
        <f>'IEPR Gas Prices Real'!G383*(INDEX('GDP Deflator'!$D$6:$D$91,MATCH('IEPR Gas Prices Nominal'!$B381,'GDP Deflator'!$B$6:$B$91,0)))</f>
        <v>5.67538347585403</v>
      </c>
      <c r="H381" s="91">
        <f>'IEPR Gas Prices Real'!H383*(INDEX('GDP Deflator'!$D$6:$D$91,MATCH('IEPR Gas Prices Nominal'!$B381,'GDP Deflator'!$B$6:$B$91,0)))</f>
        <v>14.73431095865703</v>
      </c>
      <c r="I381" s="91">
        <f>'IEPR Gas Prices Real'!I383*(INDEX('GDP Deflator'!$D$6:$D$91,MATCH('IEPR Gas Prices Nominal'!$B381,'GDP Deflator'!$B$6:$B$91,0)))</f>
        <v>9.486258614151069</v>
      </c>
      <c r="J381" s="91">
        <f>'IEPR Gas Prices Real'!J383*(INDEX('GDP Deflator'!$D$6:$D$91,MATCH('IEPR Gas Prices Nominal'!$B381,'GDP Deflator'!$B$6:$B$91,0)))</f>
        <v>9.3848394270926541</v>
      </c>
      <c r="K381" s="91">
        <f>'IEPR Gas Prices Real'!K383*(INDEX('GDP Deflator'!$D$6:$D$91,MATCH('IEPR Gas Prices Nominal'!$B381,'GDP Deflator'!$B$6:$B$91,0)))</f>
        <v>18.871098041243723</v>
      </c>
      <c r="L381" s="91">
        <f>'IEPR Gas Prices Real'!L383*(INDEX('GDP Deflator'!$D$6:$D$91,MATCH('IEPR Gas Prices Nominal'!$B381,'GDP Deflator'!$B$6:$B$91,0)))</f>
        <v>9.8342142144296059</v>
      </c>
      <c r="M381" s="91">
        <f>'IEPR Gas Prices Real'!M383*(INDEX('GDP Deflator'!$D$6:$D$91,MATCH('IEPR Gas Prices Nominal'!$B381,'GDP Deflator'!$B$6:$B$91,0)))</f>
        <v>4.4320287779582177</v>
      </c>
      <c r="N381" s="91">
        <f>'IEPR Gas Prices Real'!N383*(INDEX('GDP Deflator'!$D$6:$D$91,MATCH('IEPR Gas Prices Nominal'!$B381,'GDP Deflator'!$B$6:$B$91,0)))</f>
        <v>14.266242992387822</v>
      </c>
      <c r="O381" s="19"/>
      <c r="P381" s="229">
        <f t="shared" si="32"/>
        <v>9.4598001037945583</v>
      </c>
      <c r="Q381" s="229">
        <f t="shared" si="36"/>
        <v>15.957217330762859</v>
      </c>
      <c r="R381" s="144"/>
    </row>
    <row r="382" spans="2:18">
      <c r="B382" s="142">
        <f t="shared" si="33"/>
        <v>2053</v>
      </c>
      <c r="C382" s="19">
        <f t="shared" si="34"/>
        <v>5</v>
      </c>
      <c r="D382" s="143">
        <v>56005</v>
      </c>
      <c r="E382" s="19" t="str">
        <f t="shared" si="35"/>
        <v>5-2053</v>
      </c>
      <c r="F382" s="91">
        <f>'IEPR Gas Prices Real'!F384*(INDEX('GDP Deflator'!$D$6:$D$91,MATCH('IEPR Gas Prices Nominal'!$B382,'GDP Deflator'!$B$6:$B$91,0)))</f>
        <v>9.3743874912025671</v>
      </c>
      <c r="G382" s="91">
        <f>'IEPR Gas Prices Real'!G384*(INDEX('GDP Deflator'!$D$6:$D$91,MATCH('IEPR Gas Prices Nominal'!$B382,'GDP Deflator'!$B$6:$B$91,0)))</f>
        <v>5.67538347585403</v>
      </c>
      <c r="H382" s="91">
        <f>'IEPR Gas Prices Real'!H384*(INDEX('GDP Deflator'!$D$6:$D$91,MATCH('IEPR Gas Prices Nominal'!$B382,'GDP Deflator'!$B$6:$B$91,0)))</f>
        <v>15.049770967056597</v>
      </c>
      <c r="I382" s="91">
        <f>'IEPR Gas Prices Real'!I384*(INDEX('GDP Deflator'!$D$6:$D$91,MATCH('IEPR Gas Prices Nominal'!$B382,'GDP Deflator'!$B$6:$B$91,0)))</f>
        <v>9.8164864016217805</v>
      </c>
      <c r="J382" s="91">
        <f>'IEPR Gas Prices Real'!J384*(INDEX('GDP Deflator'!$D$6:$D$91,MATCH('IEPR Gas Prices Nominal'!$B382,'GDP Deflator'!$B$6:$B$91,0)))</f>
        <v>9.3848394270926541</v>
      </c>
      <c r="K382" s="91">
        <f>'IEPR Gas Prices Real'!K384*(INDEX('GDP Deflator'!$D$6:$D$91,MATCH('IEPR Gas Prices Nominal'!$B382,'GDP Deflator'!$B$6:$B$91,0)))</f>
        <v>19.201325828714435</v>
      </c>
      <c r="L382" s="91">
        <f>'IEPR Gas Prices Real'!L384*(INDEX('GDP Deflator'!$D$6:$D$91,MATCH('IEPR Gas Prices Nominal'!$B382,'GDP Deflator'!$B$6:$B$91,0)))</f>
        <v>10.176556008010923</v>
      </c>
      <c r="M382" s="91">
        <f>'IEPR Gas Prices Real'!M384*(INDEX('GDP Deflator'!$D$6:$D$91,MATCH('IEPR Gas Prices Nominal'!$B382,'GDP Deflator'!$B$6:$B$91,0)))</f>
        <v>4.4320287779582177</v>
      </c>
      <c r="N382" s="91">
        <f>'IEPR Gas Prices Real'!N384*(INDEX('GDP Deflator'!$D$6:$D$91,MATCH('IEPR Gas Prices Nominal'!$B382,'GDP Deflator'!$B$6:$B$91,0)))</f>
        <v>14.608584785969141</v>
      </c>
      <c r="O382" s="19"/>
      <c r="P382" s="229">
        <f t="shared" si="32"/>
        <v>9.7891433002784236</v>
      </c>
      <c r="Q382" s="229">
        <f t="shared" si="36"/>
        <v>16.286560527246724</v>
      </c>
      <c r="R382" s="144"/>
    </row>
    <row r="383" spans="2:18">
      <c r="B383" s="142">
        <f t="shared" si="33"/>
        <v>2053</v>
      </c>
      <c r="C383" s="19">
        <f t="shared" si="34"/>
        <v>6</v>
      </c>
      <c r="D383" s="143">
        <v>56036</v>
      </c>
      <c r="E383" s="19" t="str">
        <f t="shared" si="35"/>
        <v>6-2053</v>
      </c>
      <c r="F383" s="91">
        <f>'IEPR Gas Prices Real'!F385*(INDEX('GDP Deflator'!$D$6:$D$91,MATCH('IEPR Gas Prices Nominal'!$B383,'GDP Deflator'!$B$6:$B$91,0)))</f>
        <v>9.6169233685118609</v>
      </c>
      <c r="G383" s="91">
        <f>'IEPR Gas Prices Real'!G385*(INDEX('GDP Deflator'!$D$6:$D$91,MATCH('IEPR Gas Prices Nominal'!$B383,'GDP Deflator'!$B$6:$B$91,0)))</f>
        <v>5.67538347585403</v>
      </c>
      <c r="H383" s="91">
        <f>'IEPR Gas Prices Real'!H385*(INDEX('GDP Deflator'!$D$6:$D$91,MATCH('IEPR Gas Prices Nominal'!$B383,'GDP Deflator'!$B$6:$B$91,0)))</f>
        <v>15.292306844365891</v>
      </c>
      <c r="I383" s="91">
        <f>'IEPR Gas Prices Real'!I385*(INDEX('GDP Deflator'!$D$6:$D$91,MATCH('IEPR Gas Prices Nominal'!$B383,'GDP Deflator'!$B$6:$B$91,0)))</f>
        <v>10.070344189904951</v>
      </c>
      <c r="J383" s="91">
        <f>'IEPR Gas Prices Real'!J385*(INDEX('GDP Deflator'!$D$6:$D$91,MATCH('IEPR Gas Prices Nominal'!$B383,'GDP Deflator'!$B$6:$B$91,0)))</f>
        <v>9.3848394270926541</v>
      </c>
      <c r="K383" s="91">
        <f>'IEPR Gas Prices Real'!K385*(INDEX('GDP Deflator'!$D$6:$D$91,MATCH('IEPR Gas Prices Nominal'!$B383,'GDP Deflator'!$B$6:$B$91,0)))</f>
        <v>19.455183616997605</v>
      </c>
      <c r="L383" s="91">
        <f>'IEPR Gas Prices Real'!L385*(INDEX('GDP Deflator'!$D$6:$D$91,MATCH('IEPR Gas Prices Nominal'!$B383,'GDP Deflator'!$B$6:$B$91,0)))</f>
        <v>10.439726619219831</v>
      </c>
      <c r="M383" s="91">
        <f>'IEPR Gas Prices Real'!M385*(INDEX('GDP Deflator'!$D$6:$D$91,MATCH('IEPR Gas Prices Nominal'!$B383,'GDP Deflator'!$B$6:$B$91,0)))</f>
        <v>4.4320287779582177</v>
      </c>
      <c r="N383" s="91">
        <f>'IEPR Gas Prices Real'!N385*(INDEX('GDP Deflator'!$D$6:$D$91,MATCH('IEPR Gas Prices Nominal'!$B383,'GDP Deflator'!$B$6:$B$91,0)))</f>
        <v>14.871755397178047</v>
      </c>
      <c r="O383" s="19"/>
      <c r="P383" s="229">
        <f t="shared" si="32"/>
        <v>10.042331392545549</v>
      </c>
      <c r="Q383" s="229">
        <f t="shared" si="36"/>
        <v>16.539748619513848</v>
      </c>
      <c r="R383" s="144"/>
    </row>
    <row r="384" spans="2:18">
      <c r="B384" s="142">
        <f t="shared" si="33"/>
        <v>2053</v>
      </c>
      <c r="C384" s="19">
        <f t="shared" si="34"/>
        <v>7</v>
      </c>
      <c r="D384" s="143">
        <v>56066</v>
      </c>
      <c r="E384" s="19" t="str">
        <f t="shared" si="35"/>
        <v>7-2053</v>
      </c>
      <c r="F384" s="91">
        <f>'IEPR Gas Prices Real'!F386*(INDEX('GDP Deflator'!$D$6:$D$91,MATCH('IEPR Gas Prices Nominal'!$B384,'GDP Deflator'!$B$6:$B$91,0)))</f>
        <v>9.6934092368994271</v>
      </c>
      <c r="G384" s="91">
        <f>'IEPR Gas Prices Real'!G386*(INDEX('GDP Deflator'!$D$6:$D$91,MATCH('IEPR Gas Prices Nominal'!$B384,'GDP Deflator'!$B$6:$B$91,0)))</f>
        <v>5.67538347585403</v>
      </c>
      <c r="H384" s="91">
        <f>'IEPR Gas Prices Real'!H386*(INDEX('GDP Deflator'!$D$6:$D$91,MATCH('IEPR Gas Prices Nominal'!$B384,'GDP Deflator'!$B$6:$B$91,0)))</f>
        <v>15.368792712753457</v>
      </c>
      <c r="I384" s="91">
        <f>'IEPR Gas Prices Real'!I386*(INDEX('GDP Deflator'!$D$6:$D$91,MATCH('IEPR Gas Prices Nominal'!$B384,'GDP Deflator'!$B$6:$B$91,0)))</f>
        <v>10.150319148540161</v>
      </c>
      <c r="J384" s="91">
        <f>'IEPR Gas Prices Real'!J386*(INDEX('GDP Deflator'!$D$6:$D$91,MATCH('IEPR Gas Prices Nominal'!$B384,'GDP Deflator'!$B$6:$B$91,0)))</f>
        <v>9.3848394270926541</v>
      </c>
      <c r="K384" s="91">
        <f>'IEPR Gas Prices Real'!K386*(INDEX('GDP Deflator'!$D$6:$D$91,MATCH('IEPR Gas Prices Nominal'!$B384,'GDP Deflator'!$B$6:$B$91,0)))</f>
        <v>19.535158575632813</v>
      </c>
      <c r="L384" s="91">
        <f>'IEPR Gas Prices Real'!L386*(INDEX('GDP Deflator'!$D$6:$D$91,MATCH('IEPR Gas Prices Nominal'!$B384,'GDP Deflator'!$B$6:$B$91,0)))</f>
        <v>10.522636383588212</v>
      </c>
      <c r="M384" s="91">
        <f>'IEPR Gas Prices Real'!M386*(INDEX('GDP Deflator'!$D$6:$D$91,MATCH('IEPR Gas Prices Nominal'!$B384,'GDP Deflator'!$B$6:$B$91,0)))</f>
        <v>4.4320287779582177</v>
      </c>
      <c r="N384" s="91">
        <f>'IEPR Gas Prices Real'!N386*(INDEX('GDP Deflator'!$D$6:$D$91,MATCH('IEPR Gas Prices Nominal'!$B384,'GDP Deflator'!$B$6:$B$91,0)))</f>
        <v>14.95466516154643</v>
      </c>
      <c r="O384" s="19"/>
      <c r="P384" s="229">
        <f t="shared" si="32"/>
        <v>10.122121589675935</v>
      </c>
      <c r="Q384" s="229">
        <f t="shared" si="36"/>
        <v>16.619538816644233</v>
      </c>
      <c r="R384" s="144"/>
    </row>
    <row r="385" spans="2:18">
      <c r="B385" s="142">
        <f t="shared" si="33"/>
        <v>2053</v>
      </c>
      <c r="C385" s="19">
        <f t="shared" si="34"/>
        <v>8</v>
      </c>
      <c r="D385" s="143">
        <v>56097</v>
      </c>
      <c r="E385" s="19" t="str">
        <f t="shared" si="35"/>
        <v>8-2053</v>
      </c>
      <c r="F385" s="91">
        <f>'IEPR Gas Prices Real'!F387*(INDEX('GDP Deflator'!$D$6:$D$91,MATCH('IEPR Gas Prices Nominal'!$B385,'GDP Deflator'!$B$6:$B$91,0)))</f>
        <v>9.6187257988226111</v>
      </c>
      <c r="G385" s="91">
        <f>'IEPR Gas Prices Real'!G387*(INDEX('GDP Deflator'!$D$6:$D$91,MATCH('IEPR Gas Prices Nominal'!$B385,'GDP Deflator'!$B$6:$B$91,0)))</f>
        <v>5.67538347585403</v>
      </c>
      <c r="H385" s="91">
        <f>'IEPR Gas Prices Real'!H387*(INDEX('GDP Deflator'!$D$6:$D$91,MATCH('IEPR Gas Prices Nominal'!$B385,'GDP Deflator'!$B$6:$B$91,0)))</f>
        <v>15.294109274676641</v>
      </c>
      <c r="I385" s="91">
        <f>'IEPR Gas Prices Real'!I387*(INDEX('GDP Deflator'!$D$6:$D$91,MATCH('IEPR Gas Prices Nominal'!$B385,'GDP Deflator'!$B$6:$B$91,0)))</f>
        <v>10.071999235946429</v>
      </c>
      <c r="J385" s="91">
        <f>'IEPR Gas Prices Real'!J387*(INDEX('GDP Deflator'!$D$6:$D$91,MATCH('IEPR Gas Prices Nominal'!$B385,'GDP Deflator'!$B$6:$B$91,0)))</f>
        <v>9.3848394270926541</v>
      </c>
      <c r="K385" s="91">
        <f>'IEPR Gas Prices Real'!K387*(INDEX('GDP Deflator'!$D$6:$D$91,MATCH('IEPR Gas Prices Nominal'!$B385,'GDP Deflator'!$B$6:$B$91,0)))</f>
        <v>19.456838663039079</v>
      </c>
      <c r="L385" s="91">
        <f>'IEPR Gas Prices Real'!L387*(INDEX('GDP Deflator'!$D$6:$D$91,MATCH('IEPR Gas Prices Nominal'!$B385,'GDP Deflator'!$B$6:$B$91,0)))</f>
        <v>10.441444966121328</v>
      </c>
      <c r="M385" s="91">
        <f>'IEPR Gas Prices Real'!M387*(INDEX('GDP Deflator'!$D$6:$D$91,MATCH('IEPR Gas Prices Nominal'!$B385,'GDP Deflator'!$B$6:$B$91,0)))</f>
        <v>4.4320287779582177</v>
      </c>
      <c r="N385" s="91">
        <f>'IEPR Gas Prices Real'!N387*(INDEX('GDP Deflator'!$D$6:$D$91,MATCH('IEPR Gas Prices Nominal'!$B385,'GDP Deflator'!$B$6:$B$91,0)))</f>
        <v>14.873473744079545</v>
      </c>
      <c r="O385" s="19"/>
      <c r="P385" s="229">
        <f t="shared" si="32"/>
        <v>10.044056666963455</v>
      </c>
      <c r="Q385" s="229">
        <f t="shared" si="36"/>
        <v>16.541473893931755</v>
      </c>
      <c r="R385" s="144"/>
    </row>
    <row r="386" spans="2:18">
      <c r="B386" s="142">
        <f t="shared" si="33"/>
        <v>2053</v>
      </c>
      <c r="C386" s="19">
        <f t="shared" si="34"/>
        <v>9</v>
      </c>
      <c r="D386" s="143">
        <v>56128</v>
      </c>
      <c r="E386" s="19" t="str">
        <f t="shared" si="35"/>
        <v>9-2053</v>
      </c>
      <c r="F386" s="91">
        <f>'IEPR Gas Prices Real'!F388*(INDEX('GDP Deflator'!$D$6:$D$91,MATCH('IEPR Gas Prices Nominal'!$B386,'GDP Deflator'!$B$6:$B$91,0)))</f>
        <v>9.754213639666661</v>
      </c>
      <c r="G386" s="91">
        <f>'IEPR Gas Prices Real'!G388*(INDEX('GDP Deflator'!$D$6:$D$91,MATCH('IEPR Gas Prices Nominal'!$B386,'GDP Deflator'!$B$6:$B$91,0)))</f>
        <v>5.67538347585403</v>
      </c>
      <c r="H386" s="91">
        <f>'IEPR Gas Prices Real'!H388*(INDEX('GDP Deflator'!$D$6:$D$91,MATCH('IEPR Gas Prices Nominal'!$B386,'GDP Deflator'!$B$6:$B$91,0)))</f>
        <v>15.429597115520691</v>
      </c>
      <c r="I386" s="91">
        <f>'IEPR Gas Prices Real'!I388*(INDEX('GDP Deflator'!$D$6:$D$91,MATCH('IEPR Gas Prices Nominal'!$B386,'GDP Deflator'!$B$6:$B$91,0)))</f>
        <v>10.213753987114686</v>
      </c>
      <c r="J386" s="91">
        <f>'IEPR Gas Prices Real'!J388*(INDEX('GDP Deflator'!$D$6:$D$91,MATCH('IEPR Gas Prices Nominal'!$B386,'GDP Deflator'!$B$6:$B$91,0)))</f>
        <v>9.3848394270926541</v>
      </c>
      <c r="K386" s="91">
        <f>'IEPR Gas Prices Real'!K388*(INDEX('GDP Deflator'!$D$6:$D$91,MATCH('IEPR Gas Prices Nominal'!$B386,'GDP Deflator'!$B$6:$B$91,0)))</f>
        <v>19.59859341420734</v>
      </c>
      <c r="L386" s="91">
        <f>'IEPR Gas Prices Real'!L388*(INDEX('GDP Deflator'!$D$6:$D$91,MATCH('IEPR Gas Prices Nominal'!$B386,'GDP Deflator'!$B$6:$B$91,0)))</f>
        <v>10.588400664180215</v>
      </c>
      <c r="M386" s="91">
        <f>'IEPR Gas Prices Real'!M388*(INDEX('GDP Deflator'!$D$6:$D$91,MATCH('IEPR Gas Prices Nominal'!$B386,'GDP Deflator'!$B$6:$B$91,0)))</f>
        <v>4.4320287779582177</v>
      </c>
      <c r="N386" s="91">
        <f>'IEPR Gas Prices Real'!N388*(INDEX('GDP Deflator'!$D$6:$D$91,MATCH('IEPR Gas Prices Nominal'!$B386,'GDP Deflator'!$B$6:$B$91,0)))</f>
        <v>15.020429442138431</v>
      </c>
      <c r="O386" s="19"/>
      <c r="P386" s="229">
        <f t="shared" si="32"/>
        <v>10.185456096987187</v>
      </c>
      <c r="Q386" s="229">
        <f t="shared" si="36"/>
        <v>16.682873323955487</v>
      </c>
      <c r="R386" s="144"/>
    </row>
    <row r="387" spans="2:18">
      <c r="B387" s="142">
        <f t="shared" si="33"/>
        <v>2053</v>
      </c>
      <c r="C387" s="19">
        <f t="shared" si="34"/>
        <v>10</v>
      </c>
      <c r="D387" s="143">
        <v>56158</v>
      </c>
      <c r="E387" s="19" t="str">
        <f t="shared" si="35"/>
        <v>10-2053</v>
      </c>
      <c r="F387" s="91">
        <f>'IEPR Gas Prices Real'!F389*(INDEX('GDP Deflator'!$D$6:$D$91,MATCH('IEPR Gas Prices Nominal'!$B387,'GDP Deflator'!$B$6:$B$91,0)))</f>
        <v>9.6981958873607148</v>
      </c>
      <c r="G387" s="91">
        <f>'IEPR Gas Prices Real'!G389*(INDEX('GDP Deflator'!$D$6:$D$91,MATCH('IEPR Gas Prices Nominal'!$B387,'GDP Deflator'!$B$6:$B$91,0)))</f>
        <v>5.67538347585403</v>
      </c>
      <c r="H387" s="91">
        <f>'IEPR Gas Prices Real'!H389*(INDEX('GDP Deflator'!$D$6:$D$91,MATCH('IEPR Gas Prices Nominal'!$B387,'GDP Deflator'!$B$6:$B$91,0)))</f>
        <v>15.373579363214743</v>
      </c>
      <c r="I387" s="91">
        <f>'IEPR Gas Prices Real'!I389*(INDEX('GDP Deflator'!$D$6:$D$91,MATCH('IEPR Gas Prices Nominal'!$B387,'GDP Deflator'!$B$6:$B$91,0)))</f>
        <v>10.154979971728102</v>
      </c>
      <c r="J387" s="91">
        <f>'IEPR Gas Prices Real'!J389*(INDEX('GDP Deflator'!$D$6:$D$91,MATCH('IEPR Gas Prices Nominal'!$B387,'GDP Deflator'!$B$6:$B$91,0)))</f>
        <v>9.3848394270926541</v>
      </c>
      <c r="K387" s="91">
        <f>'IEPR Gas Prices Real'!K389*(INDEX('GDP Deflator'!$D$6:$D$91,MATCH('IEPR Gas Prices Nominal'!$B387,'GDP Deflator'!$B$6:$B$91,0)))</f>
        <v>19.539819398820754</v>
      </c>
      <c r="L387" s="91">
        <f>'IEPR Gas Prices Real'!L389*(INDEX('GDP Deflator'!$D$6:$D$91,MATCH('IEPR Gas Prices Nominal'!$B387,'GDP Deflator'!$B$6:$B$91,0)))</f>
        <v>10.527472089950054</v>
      </c>
      <c r="M387" s="91">
        <f>'IEPR Gas Prices Real'!M389*(INDEX('GDP Deflator'!$D$6:$D$91,MATCH('IEPR Gas Prices Nominal'!$B387,'GDP Deflator'!$B$6:$B$91,0)))</f>
        <v>4.4320287779582177</v>
      </c>
      <c r="N387" s="91">
        <f>'IEPR Gas Prices Real'!N389*(INDEX('GDP Deflator'!$D$6:$D$91,MATCH('IEPR Gas Prices Nominal'!$B387,'GDP Deflator'!$B$6:$B$91,0)))</f>
        <v>14.959500867908273</v>
      </c>
      <c r="O387" s="19"/>
      <c r="P387" s="229">
        <f t="shared" si="32"/>
        <v>10.126882649679622</v>
      </c>
      <c r="Q387" s="229">
        <f t="shared" si="36"/>
        <v>16.624299876647925</v>
      </c>
      <c r="R387" s="144"/>
    </row>
    <row r="388" spans="2:18">
      <c r="B388" s="142">
        <f t="shared" si="33"/>
        <v>2053</v>
      </c>
      <c r="C388" s="19">
        <f t="shared" si="34"/>
        <v>11</v>
      </c>
      <c r="D388" s="143">
        <v>56189</v>
      </c>
      <c r="E388" s="19" t="str">
        <f t="shared" si="35"/>
        <v>11-2053</v>
      </c>
      <c r="F388" s="91">
        <f>'IEPR Gas Prices Real'!F390*(INDEX('GDP Deflator'!$D$6:$D$91,MATCH('IEPR Gas Prices Nominal'!$B388,'GDP Deflator'!$B$6:$B$91,0)))</f>
        <v>10.177747522726134</v>
      </c>
      <c r="G388" s="91">
        <f>'IEPR Gas Prices Real'!G390*(INDEX('GDP Deflator'!$D$6:$D$91,MATCH('IEPR Gas Prices Nominal'!$B388,'GDP Deflator'!$B$6:$B$91,0)))</f>
        <v>5.67538347585403</v>
      </c>
      <c r="H388" s="91">
        <f>'IEPR Gas Prices Real'!H390*(INDEX('GDP Deflator'!$D$6:$D$91,MATCH('IEPR Gas Prices Nominal'!$B388,'GDP Deflator'!$B$6:$B$91,0)))</f>
        <v>15.853130998580166</v>
      </c>
      <c r="I388" s="91">
        <f>'IEPR Gas Prices Real'!I390*(INDEX('GDP Deflator'!$D$6:$D$91,MATCH('IEPR Gas Prices Nominal'!$B388,'GDP Deflator'!$B$6:$B$91,0)))</f>
        <v>10.65699548836292</v>
      </c>
      <c r="J388" s="91">
        <f>'IEPR Gas Prices Real'!J390*(INDEX('GDP Deflator'!$D$6:$D$91,MATCH('IEPR Gas Prices Nominal'!$B388,'GDP Deflator'!$B$6:$B$91,0)))</f>
        <v>9.3848394270926541</v>
      </c>
      <c r="K388" s="91">
        <f>'IEPR Gas Prices Real'!K390*(INDEX('GDP Deflator'!$D$6:$D$91,MATCH('IEPR Gas Prices Nominal'!$B388,'GDP Deflator'!$B$6:$B$91,0)))</f>
        <v>20.041834915455574</v>
      </c>
      <c r="L388" s="91">
        <f>'IEPR Gas Prices Real'!L390*(INDEX('GDP Deflator'!$D$6:$D$91,MATCH('IEPR Gas Prices Nominal'!$B388,'GDP Deflator'!$B$6:$B$91,0)))</f>
        <v>11.04790327651229</v>
      </c>
      <c r="M388" s="91">
        <f>'IEPR Gas Prices Real'!M390*(INDEX('GDP Deflator'!$D$6:$D$91,MATCH('IEPR Gas Prices Nominal'!$B388,'GDP Deflator'!$B$6:$B$91,0)))</f>
        <v>4.4320287779582177</v>
      </c>
      <c r="N388" s="91">
        <f>'IEPR Gas Prices Real'!N390*(INDEX('GDP Deflator'!$D$6:$D$91,MATCH('IEPR Gas Prices Nominal'!$B388,'GDP Deflator'!$B$6:$B$91,0)))</f>
        <v>15.479932054470508</v>
      </c>
      <c r="O388" s="19"/>
      <c r="P388" s="229">
        <f t="shared" si="32"/>
        <v>10.627548762533781</v>
      </c>
      <c r="Q388" s="229">
        <f t="shared" si="36"/>
        <v>17.124965989502083</v>
      </c>
      <c r="R388" s="144"/>
    </row>
    <row r="389" spans="2:18">
      <c r="B389" s="142">
        <f t="shared" si="33"/>
        <v>2053</v>
      </c>
      <c r="C389" s="19">
        <f t="shared" si="34"/>
        <v>12</v>
      </c>
      <c r="D389" s="143">
        <v>56219</v>
      </c>
      <c r="E389" s="19" t="str">
        <f t="shared" si="35"/>
        <v>12-2053</v>
      </c>
      <c r="F389" s="91">
        <f>'IEPR Gas Prices Real'!F391*(INDEX('GDP Deflator'!$D$6:$D$91,MATCH('IEPR Gas Prices Nominal'!$B389,'GDP Deflator'!$B$6:$B$91,0)))</f>
        <v>10.259814022873822</v>
      </c>
      <c r="G389" s="91">
        <f>'IEPR Gas Prices Real'!G391*(INDEX('GDP Deflator'!$D$6:$D$91,MATCH('IEPR Gas Prices Nominal'!$B389,'GDP Deflator'!$B$6:$B$91,0)))</f>
        <v>5.67538347585403</v>
      </c>
      <c r="H389" s="91">
        <f>'IEPR Gas Prices Real'!H391*(INDEX('GDP Deflator'!$D$6:$D$91,MATCH('IEPR Gas Prices Nominal'!$B389,'GDP Deflator'!$B$6:$B$91,0)))</f>
        <v>15.935197498727852</v>
      </c>
      <c r="I389" s="91">
        <f>'IEPR Gas Prices Real'!I391*(INDEX('GDP Deflator'!$D$6:$D$91,MATCH('IEPR Gas Prices Nominal'!$B389,'GDP Deflator'!$B$6:$B$91,0)))</f>
        <v>10.742802370194198</v>
      </c>
      <c r="J389" s="91">
        <f>'IEPR Gas Prices Real'!J391*(INDEX('GDP Deflator'!$D$6:$D$91,MATCH('IEPR Gas Prices Nominal'!$B389,'GDP Deflator'!$B$6:$B$91,0)))</f>
        <v>9.3848394270926541</v>
      </c>
      <c r="K389" s="91">
        <f>'IEPR Gas Prices Real'!K391*(INDEX('GDP Deflator'!$D$6:$D$91,MATCH('IEPR Gas Prices Nominal'!$B389,'GDP Deflator'!$B$6:$B$91,0)))</f>
        <v>20.127641797286852</v>
      </c>
      <c r="L389" s="91">
        <f>'IEPR Gas Prices Real'!L391*(INDEX('GDP Deflator'!$D$6:$D$91,MATCH('IEPR Gas Prices Nominal'!$B389,'GDP Deflator'!$B$6:$B$91,0)))</f>
        <v>11.136859012278476</v>
      </c>
      <c r="M389" s="91">
        <f>'IEPR Gas Prices Real'!M391*(INDEX('GDP Deflator'!$D$6:$D$91,MATCH('IEPR Gas Prices Nominal'!$B389,'GDP Deflator'!$B$6:$B$91,0)))</f>
        <v>4.4320287779582177</v>
      </c>
      <c r="N389" s="91">
        <f>'IEPR Gas Prices Real'!N391*(INDEX('GDP Deflator'!$D$6:$D$91,MATCH('IEPR Gas Prices Nominal'!$B389,'GDP Deflator'!$B$6:$B$91,0)))</f>
        <v>15.568887790236694</v>
      </c>
      <c r="O389" s="19"/>
      <c r="P389" s="229">
        <f t="shared" si="32"/>
        <v>10.713158468448832</v>
      </c>
      <c r="Q389" s="229">
        <f t="shared" si="36"/>
        <v>17.210575695417131</v>
      </c>
      <c r="R389" s="144"/>
    </row>
    <row r="390" spans="2:18">
      <c r="B390" s="142">
        <f t="shared" si="33"/>
        <v>2054</v>
      </c>
      <c r="C390" s="19">
        <f t="shared" si="34"/>
        <v>1</v>
      </c>
      <c r="D390" s="143">
        <v>56250</v>
      </c>
      <c r="E390" s="19" t="str">
        <f t="shared" si="35"/>
        <v>1-2054</v>
      </c>
      <c r="F390" s="91">
        <f>'IEPR Gas Prices Real'!F392*(INDEX('GDP Deflator'!$D$6:$D$91,MATCH('IEPR Gas Prices Nominal'!$B390,'GDP Deflator'!$B$6:$B$91,0)))</f>
        <v>10.467862596523332</v>
      </c>
      <c r="G390" s="91">
        <f>'IEPR Gas Prices Real'!G392*(INDEX('GDP Deflator'!$D$6:$D$91,MATCH('IEPR Gas Prices Nominal'!$B390,'GDP Deflator'!$B$6:$B$91,0)))</f>
        <v>6.0208218741568809</v>
      </c>
      <c r="H390" s="91">
        <f>'IEPR Gas Prices Real'!H392*(INDEX('GDP Deflator'!$D$6:$D$91,MATCH('IEPR Gas Prices Nominal'!$B390,'GDP Deflator'!$B$6:$B$91,0)))</f>
        <v>16.488684470680216</v>
      </c>
      <c r="I390" s="91">
        <f>'IEPR Gas Prices Real'!I392*(INDEX('GDP Deflator'!$D$6:$D$91,MATCH('IEPR Gas Prices Nominal'!$B390,'GDP Deflator'!$B$6:$B$91,0)))</f>
        <v>10.960540097007643</v>
      </c>
      <c r="J390" s="91">
        <f>'IEPR Gas Prices Real'!J392*(INDEX('GDP Deflator'!$D$6:$D$91,MATCH('IEPR Gas Prices Nominal'!$B390,'GDP Deflator'!$B$6:$B$91,0)))</f>
        <v>9.9573508754205502</v>
      </c>
      <c r="K390" s="91">
        <f>'IEPR Gas Prices Real'!K392*(INDEX('GDP Deflator'!$D$6:$D$91,MATCH('IEPR Gas Prices Nominal'!$B390,'GDP Deflator'!$B$6:$B$91,0)))</f>
        <v>20.917890972428193</v>
      </c>
      <c r="L390" s="91">
        <f>'IEPR Gas Prices Real'!L392*(INDEX('GDP Deflator'!$D$6:$D$91,MATCH('IEPR Gas Prices Nominal'!$B390,'GDP Deflator'!$B$6:$B$91,0)))</f>
        <v>11.362579743363831</v>
      </c>
      <c r="M390" s="91">
        <f>'IEPR Gas Prices Real'!M392*(INDEX('GDP Deflator'!$D$6:$D$91,MATCH('IEPR Gas Prices Nominal'!$B390,'GDP Deflator'!$B$6:$B$91,0)))</f>
        <v>4.7023996494485392</v>
      </c>
      <c r="N390" s="91">
        <f>'IEPR Gas Prices Real'!N392*(INDEX('GDP Deflator'!$D$6:$D$91,MATCH('IEPR Gas Prices Nominal'!$B390,'GDP Deflator'!$B$6:$B$91,0)))</f>
        <v>16.064979392812372</v>
      </c>
      <c r="O390" s="19"/>
      <c r="P390" s="229">
        <f t="shared" ref="P390:P397" si="37">AVERAGE(F390,I390,L390)</f>
        <v>10.930327478964935</v>
      </c>
      <c r="Q390" s="229">
        <f t="shared" si="36"/>
        <v>17.823851611973595</v>
      </c>
      <c r="R390" s="144"/>
    </row>
    <row r="391" spans="2:18">
      <c r="B391" s="142">
        <f t="shared" ref="B391:B400" si="38">YEAR(D391)</f>
        <v>2054</v>
      </c>
      <c r="C391" s="19">
        <f t="shared" ref="C391:C400" si="39">MONTH(D391)</f>
        <v>2</v>
      </c>
      <c r="D391" s="143">
        <v>56281</v>
      </c>
      <c r="E391" s="19" t="str">
        <f t="shared" ref="E391:E400" si="40">C391&amp;"-"&amp;B391</f>
        <v>2-2054</v>
      </c>
      <c r="F391" s="91">
        <f>'IEPR Gas Prices Real'!F393*(INDEX('GDP Deflator'!$D$6:$D$91,MATCH('IEPR Gas Prices Nominal'!$B391,'GDP Deflator'!$B$6:$B$91,0)))</f>
        <v>10.238578972463406</v>
      </c>
      <c r="G391" s="91">
        <f>'IEPR Gas Prices Real'!G393*(INDEX('GDP Deflator'!$D$6:$D$91,MATCH('IEPR Gas Prices Nominal'!$B391,'GDP Deflator'!$B$6:$B$91,0)))</f>
        <v>6.0208218741568809</v>
      </c>
      <c r="H391" s="91">
        <f>'IEPR Gas Prices Real'!H393*(INDEX('GDP Deflator'!$D$6:$D$91,MATCH('IEPR Gas Prices Nominal'!$B391,'GDP Deflator'!$B$6:$B$91,0)))</f>
        <v>16.259400846620288</v>
      </c>
      <c r="I391" s="91">
        <f>'IEPR Gas Prices Real'!I393*(INDEX('GDP Deflator'!$D$6:$D$91,MATCH('IEPR Gas Prices Nominal'!$B391,'GDP Deflator'!$B$6:$B$91,0)))</f>
        <v>10.720362479637771</v>
      </c>
      <c r="J391" s="91">
        <f>'IEPR Gas Prices Real'!J393*(INDEX('GDP Deflator'!$D$6:$D$91,MATCH('IEPR Gas Prices Nominal'!$B391,'GDP Deflator'!$B$6:$B$91,0)))</f>
        <v>9.9573508754205502</v>
      </c>
      <c r="K391" s="91">
        <f>'IEPR Gas Prices Real'!K393*(INDEX('GDP Deflator'!$D$6:$D$91,MATCH('IEPR Gas Prices Nominal'!$B391,'GDP Deflator'!$B$6:$B$91,0)))</f>
        <v>20.677713355058319</v>
      </c>
      <c r="L391" s="91">
        <f>'IEPR Gas Prices Real'!L393*(INDEX('GDP Deflator'!$D$6:$D$91,MATCH('IEPR Gas Prices Nominal'!$B391,'GDP Deflator'!$B$6:$B$91,0)))</f>
        <v>11.11358850912897</v>
      </c>
      <c r="M391" s="91">
        <f>'IEPR Gas Prices Real'!M393*(INDEX('GDP Deflator'!$D$6:$D$91,MATCH('IEPR Gas Prices Nominal'!$B391,'GDP Deflator'!$B$6:$B$91,0)))</f>
        <v>4.7023996494485392</v>
      </c>
      <c r="N391" s="91">
        <f>'IEPR Gas Prices Real'!N393*(INDEX('GDP Deflator'!$D$6:$D$91,MATCH('IEPR Gas Prices Nominal'!$B391,'GDP Deflator'!$B$6:$B$91,0)))</f>
        <v>15.815988158577509</v>
      </c>
      <c r="O391" s="19"/>
      <c r="P391" s="229">
        <f t="shared" si="37"/>
        <v>10.690843320410048</v>
      </c>
      <c r="Q391" s="229">
        <f t="shared" ref="Q391:Q397" si="41">AVERAGE(H391,K391,N391)</f>
        <v>17.584367453418707</v>
      </c>
      <c r="R391" s="144"/>
    </row>
    <row r="392" spans="2:18">
      <c r="B392" s="142">
        <f t="shared" si="38"/>
        <v>2054</v>
      </c>
      <c r="C392" s="19">
        <f t="shared" si="39"/>
        <v>3</v>
      </c>
      <c r="D392" s="143">
        <v>56309</v>
      </c>
      <c r="E392" s="19" t="str">
        <f t="shared" si="40"/>
        <v>3-2054</v>
      </c>
      <c r="F392" s="91">
        <f>'IEPR Gas Prices Real'!F394*(INDEX('GDP Deflator'!$D$6:$D$91,MATCH('IEPR Gas Prices Nominal'!$B392,'GDP Deflator'!$B$6:$B$91,0)))</f>
        <v>9.3992484742091129</v>
      </c>
      <c r="G392" s="91">
        <f>'IEPR Gas Prices Real'!G394*(INDEX('GDP Deflator'!$D$6:$D$91,MATCH('IEPR Gas Prices Nominal'!$B392,'GDP Deflator'!$B$6:$B$91,0)))</f>
        <v>6.0208218741568809</v>
      </c>
      <c r="H392" s="91">
        <f>'IEPR Gas Prices Real'!H394*(INDEX('GDP Deflator'!$D$6:$D$91,MATCH('IEPR Gas Prices Nominal'!$B392,'GDP Deflator'!$B$6:$B$91,0)))</f>
        <v>15.420070348365995</v>
      </c>
      <c r="I392" s="91">
        <f>'IEPR Gas Prices Real'!I394*(INDEX('GDP Deflator'!$D$6:$D$91,MATCH('IEPR Gas Prices Nominal'!$B392,'GDP Deflator'!$B$6:$B$91,0)))</f>
        <v>9.841442509164203</v>
      </c>
      <c r="J392" s="91">
        <f>'IEPR Gas Prices Real'!J394*(INDEX('GDP Deflator'!$D$6:$D$91,MATCH('IEPR Gas Prices Nominal'!$B392,'GDP Deflator'!$B$6:$B$91,0)))</f>
        <v>9.9573508754205502</v>
      </c>
      <c r="K392" s="91">
        <f>'IEPR Gas Prices Real'!K394*(INDEX('GDP Deflator'!$D$6:$D$91,MATCH('IEPR Gas Prices Nominal'!$B392,'GDP Deflator'!$B$6:$B$91,0)))</f>
        <v>19.798793384584751</v>
      </c>
      <c r="L392" s="91">
        <f>'IEPR Gas Prices Real'!L394*(INDEX('GDP Deflator'!$D$6:$D$91,MATCH('IEPR Gas Prices Nominal'!$B392,'GDP Deflator'!$B$6:$B$91,0)))</f>
        <v>10.202426056583111</v>
      </c>
      <c r="M392" s="91">
        <f>'IEPR Gas Prices Real'!M394*(INDEX('GDP Deflator'!$D$6:$D$91,MATCH('IEPR Gas Prices Nominal'!$B392,'GDP Deflator'!$B$6:$B$91,0)))</f>
        <v>4.7023996494485392</v>
      </c>
      <c r="N392" s="91">
        <f>'IEPR Gas Prices Real'!N394*(INDEX('GDP Deflator'!$D$6:$D$91,MATCH('IEPR Gas Prices Nominal'!$B392,'GDP Deflator'!$B$6:$B$91,0)))</f>
        <v>14.90482570603165</v>
      </c>
      <c r="O392" s="19"/>
      <c r="P392" s="229">
        <f t="shared" si="37"/>
        <v>9.8143723466521422</v>
      </c>
      <c r="Q392" s="229">
        <f t="shared" si="41"/>
        <v>16.7078964796608</v>
      </c>
      <c r="R392" s="144"/>
    </row>
    <row r="393" spans="2:18">
      <c r="B393" s="142">
        <f t="shared" si="38"/>
        <v>2054</v>
      </c>
      <c r="C393" s="19">
        <f t="shared" si="39"/>
        <v>4</v>
      </c>
      <c r="D393" s="143">
        <v>56340</v>
      </c>
      <c r="E393" s="19" t="str">
        <f t="shared" si="40"/>
        <v>4-2054</v>
      </c>
      <c r="F393" s="91">
        <f>'IEPR Gas Prices Real'!F395*(INDEX('GDP Deflator'!$D$6:$D$91,MATCH('IEPR Gas Prices Nominal'!$B393,'GDP Deflator'!$B$6:$B$91,0)))</f>
        <v>9.2395181761213916</v>
      </c>
      <c r="G393" s="91">
        <f>'IEPR Gas Prices Real'!G395*(INDEX('GDP Deflator'!$D$6:$D$91,MATCH('IEPR Gas Prices Nominal'!$B393,'GDP Deflator'!$B$6:$B$91,0)))</f>
        <v>6.0208218741568809</v>
      </c>
      <c r="H393" s="91">
        <f>'IEPR Gas Prices Real'!H395*(INDEX('GDP Deflator'!$D$6:$D$91,MATCH('IEPR Gas Prices Nominal'!$B393,'GDP Deflator'!$B$6:$B$91,0)))</f>
        <v>15.260340050278273</v>
      </c>
      <c r="I393" s="91">
        <f>'IEPR Gas Prices Real'!I395*(INDEX('GDP Deflator'!$D$6:$D$91,MATCH('IEPR Gas Prices Nominal'!$B393,'GDP Deflator'!$B$6:$B$91,0)))</f>
        <v>9.6741050000211199</v>
      </c>
      <c r="J393" s="91">
        <f>'IEPR Gas Prices Real'!J395*(INDEX('GDP Deflator'!$D$6:$D$91,MATCH('IEPR Gas Prices Nominal'!$B393,'GDP Deflator'!$B$6:$B$91,0)))</f>
        <v>9.9573508754205502</v>
      </c>
      <c r="K393" s="91">
        <f>'IEPR Gas Prices Real'!K395*(INDEX('GDP Deflator'!$D$6:$D$91,MATCH('IEPR Gas Prices Nominal'!$B393,'GDP Deflator'!$B$6:$B$91,0)))</f>
        <v>19.63145587544167</v>
      </c>
      <c r="L393" s="91">
        <f>'IEPR Gas Prices Real'!L395*(INDEX('GDP Deflator'!$D$6:$D$91,MATCH('IEPR Gas Prices Nominal'!$B393,'GDP Deflator'!$B$6:$B$91,0)))</f>
        <v>10.02894723486307</v>
      </c>
      <c r="M393" s="91">
        <f>'IEPR Gas Prices Real'!M395*(INDEX('GDP Deflator'!$D$6:$D$91,MATCH('IEPR Gas Prices Nominal'!$B393,'GDP Deflator'!$B$6:$B$91,0)))</f>
        <v>4.7023996494485392</v>
      </c>
      <c r="N393" s="91">
        <f>'IEPR Gas Prices Real'!N395*(INDEX('GDP Deflator'!$D$6:$D$91,MATCH('IEPR Gas Prices Nominal'!$B393,'GDP Deflator'!$B$6:$B$91,0)))</f>
        <v>14.731346884311609</v>
      </c>
      <c r="O393" s="19"/>
      <c r="P393" s="229">
        <f t="shared" si="37"/>
        <v>9.6475234703351944</v>
      </c>
      <c r="Q393" s="229">
        <f t="shared" si="41"/>
        <v>16.541047603343852</v>
      </c>
      <c r="R393" s="144"/>
    </row>
    <row r="394" spans="2:18">
      <c r="B394" s="142">
        <f t="shared" si="38"/>
        <v>2054</v>
      </c>
      <c r="C394" s="19">
        <f t="shared" si="39"/>
        <v>5</v>
      </c>
      <c r="D394" s="143">
        <v>56370</v>
      </c>
      <c r="E394" s="19" t="str">
        <f t="shared" si="40"/>
        <v>5-2054</v>
      </c>
      <c r="F394" s="91">
        <f>'IEPR Gas Prices Real'!F396*(INDEX('GDP Deflator'!$D$6:$D$91,MATCH('IEPR Gas Prices Nominal'!$B394,'GDP Deflator'!$B$6:$B$91,0)))</f>
        <v>9.5612898800584709</v>
      </c>
      <c r="G394" s="91">
        <f>'IEPR Gas Prices Real'!G396*(INDEX('GDP Deflator'!$D$6:$D$91,MATCH('IEPR Gas Prices Nominal'!$B394,'GDP Deflator'!$B$6:$B$91,0)))</f>
        <v>6.0208218741568809</v>
      </c>
      <c r="H394" s="91">
        <f>'IEPR Gas Prices Real'!H396*(INDEX('GDP Deflator'!$D$6:$D$91,MATCH('IEPR Gas Prices Nominal'!$B394,'GDP Deflator'!$B$6:$B$91,0)))</f>
        <v>15.582111754215351</v>
      </c>
      <c r="I394" s="91">
        <f>'IEPR Gas Prices Real'!I396*(INDEX('GDP Deflator'!$D$6:$D$91,MATCH('IEPR Gas Prices Nominal'!$B394,'GDP Deflator'!$B$6:$B$91,0)))</f>
        <v>10.010915629136486</v>
      </c>
      <c r="J394" s="91">
        <f>'IEPR Gas Prices Real'!J396*(INDEX('GDP Deflator'!$D$6:$D$91,MATCH('IEPR Gas Prices Nominal'!$B394,'GDP Deflator'!$B$6:$B$91,0)))</f>
        <v>9.9573508754205502</v>
      </c>
      <c r="K394" s="91">
        <f>'IEPR Gas Prices Real'!K396*(INDEX('GDP Deflator'!$D$6:$D$91,MATCH('IEPR Gas Prices Nominal'!$B394,'GDP Deflator'!$B$6:$B$91,0)))</f>
        <v>19.968266504557036</v>
      </c>
      <c r="L394" s="91">
        <f>'IEPR Gas Prices Real'!L396*(INDEX('GDP Deflator'!$D$6:$D$91,MATCH('IEPR Gas Prices Nominal'!$B394,'GDP Deflator'!$B$6:$B$91,0)))</f>
        <v>10.378108440508916</v>
      </c>
      <c r="M394" s="91">
        <f>'IEPR Gas Prices Real'!M396*(INDEX('GDP Deflator'!$D$6:$D$91,MATCH('IEPR Gas Prices Nominal'!$B394,'GDP Deflator'!$B$6:$B$91,0)))</f>
        <v>4.7023996494485392</v>
      </c>
      <c r="N394" s="91">
        <f>'IEPR Gas Prices Real'!N396*(INDEX('GDP Deflator'!$D$6:$D$91,MATCH('IEPR Gas Prices Nominal'!$B394,'GDP Deflator'!$B$6:$B$91,0)))</f>
        <v>15.080508089957455</v>
      </c>
      <c r="O394" s="19"/>
      <c r="P394" s="229">
        <f t="shared" si="37"/>
        <v>9.9834379832346247</v>
      </c>
      <c r="Q394" s="229">
        <f t="shared" si="41"/>
        <v>16.876962116243281</v>
      </c>
      <c r="R394" s="144"/>
    </row>
    <row r="395" spans="2:18">
      <c r="B395" s="142">
        <f t="shared" si="38"/>
        <v>2054</v>
      </c>
      <c r="C395" s="19">
        <f t="shared" si="39"/>
        <v>6</v>
      </c>
      <c r="D395" s="143">
        <v>56401</v>
      </c>
      <c r="E395" s="19" t="str">
        <f t="shared" si="40"/>
        <v>6-2054</v>
      </c>
      <c r="F395" s="91">
        <f>'IEPR Gas Prices Real'!F397*(INDEX('GDP Deflator'!$D$6:$D$91,MATCH('IEPR Gas Prices Nominal'!$B395,'GDP Deflator'!$B$6:$B$91,0)))</f>
        <v>9.8086848919333249</v>
      </c>
      <c r="G395" s="91">
        <f>'IEPR Gas Prices Real'!G397*(INDEX('GDP Deflator'!$D$6:$D$91,MATCH('IEPR Gas Prices Nominal'!$B395,'GDP Deflator'!$B$6:$B$91,0)))</f>
        <v>6.0208218741568809</v>
      </c>
      <c r="H395" s="91">
        <f>'IEPR Gas Prices Real'!H397*(INDEX('GDP Deflator'!$D$6:$D$91,MATCH('IEPR Gas Prices Nominal'!$B395,'GDP Deflator'!$B$6:$B$91,0)))</f>
        <v>15.829506766090207</v>
      </c>
      <c r="I395" s="91">
        <f>'IEPR Gas Prices Real'!I397*(INDEX('GDP Deflator'!$D$6:$D$91,MATCH('IEPR Gas Prices Nominal'!$B395,'GDP Deflator'!$B$6:$B$91,0)))</f>
        <v>10.269846247047887</v>
      </c>
      <c r="J395" s="91">
        <f>'IEPR Gas Prices Real'!J397*(INDEX('GDP Deflator'!$D$6:$D$91,MATCH('IEPR Gas Prices Nominal'!$B395,'GDP Deflator'!$B$6:$B$91,0)))</f>
        <v>9.9573508754205502</v>
      </c>
      <c r="K395" s="91">
        <f>'IEPR Gas Prices Real'!K397*(INDEX('GDP Deflator'!$D$6:$D$91,MATCH('IEPR Gas Prices Nominal'!$B395,'GDP Deflator'!$B$6:$B$91,0)))</f>
        <v>20.227197122468436</v>
      </c>
      <c r="L395" s="91">
        <f>'IEPR Gas Prices Real'!L397*(INDEX('GDP Deflator'!$D$6:$D$91,MATCH('IEPR Gas Prices Nominal'!$B395,'GDP Deflator'!$B$6:$B$91,0)))</f>
        <v>10.646532846551347</v>
      </c>
      <c r="M395" s="91">
        <f>'IEPR Gas Prices Real'!M397*(INDEX('GDP Deflator'!$D$6:$D$91,MATCH('IEPR Gas Prices Nominal'!$B395,'GDP Deflator'!$B$6:$B$91,0)))</f>
        <v>4.7023996494485392</v>
      </c>
      <c r="N395" s="91">
        <f>'IEPR Gas Prices Real'!N397*(INDEX('GDP Deflator'!$D$6:$D$91,MATCH('IEPR Gas Prices Nominal'!$B395,'GDP Deflator'!$B$6:$B$91,0)))</f>
        <v>15.348932495999886</v>
      </c>
      <c r="O395" s="19"/>
      <c r="P395" s="229">
        <f t="shared" si="37"/>
        <v>10.24168799517752</v>
      </c>
      <c r="Q395" s="229">
        <f t="shared" si="41"/>
        <v>17.135212128186179</v>
      </c>
      <c r="R395" s="144"/>
    </row>
    <row r="396" spans="2:18">
      <c r="B396" s="142">
        <f t="shared" si="38"/>
        <v>2054</v>
      </c>
      <c r="C396" s="19">
        <f t="shared" si="39"/>
        <v>7</v>
      </c>
      <c r="D396" s="143">
        <v>56431</v>
      </c>
      <c r="E396" s="19" t="str">
        <f t="shared" si="40"/>
        <v>7-2054</v>
      </c>
      <c r="F396" s="91">
        <f>'IEPR Gas Prices Real'!F398*(INDEX('GDP Deflator'!$D$6:$D$91,MATCH('IEPR Gas Prices Nominal'!$B396,'GDP Deflator'!$B$6:$B$91,0)))</f>
        <v>9.8867196391326573</v>
      </c>
      <c r="G396" s="91">
        <f>'IEPR Gas Prices Real'!G398*(INDEX('GDP Deflator'!$D$6:$D$91,MATCH('IEPR Gas Prices Nominal'!$B396,'GDP Deflator'!$B$6:$B$91,0)))</f>
        <v>6.0208218741568809</v>
      </c>
      <c r="H396" s="91">
        <f>'IEPR Gas Prices Real'!H398*(INDEX('GDP Deflator'!$D$6:$D$91,MATCH('IEPR Gas Prices Nominal'!$B396,'GDP Deflator'!$B$6:$B$91,0)))</f>
        <v>15.907541513289539</v>
      </c>
      <c r="I396" s="91">
        <f>'IEPR Gas Prices Real'!I398*(INDEX('GDP Deflator'!$D$6:$D$91,MATCH('IEPR Gas Prices Nominal'!$B396,'GDP Deflator'!$B$6:$B$91,0)))</f>
        <v>10.351450757895233</v>
      </c>
      <c r="J396" s="91">
        <f>'IEPR Gas Prices Real'!J398*(INDEX('GDP Deflator'!$D$6:$D$91,MATCH('IEPR Gas Prices Nominal'!$B396,'GDP Deflator'!$B$6:$B$91,0)))</f>
        <v>9.9573508754205502</v>
      </c>
      <c r="K396" s="91">
        <f>'IEPR Gas Prices Real'!K398*(INDEX('GDP Deflator'!$D$6:$D$91,MATCH('IEPR Gas Prices Nominal'!$B396,'GDP Deflator'!$B$6:$B$91,0)))</f>
        <v>20.308801633315781</v>
      </c>
      <c r="L396" s="91">
        <f>'IEPR Gas Prices Real'!L398*(INDEX('GDP Deflator'!$D$6:$D$91,MATCH('IEPR Gas Prices Nominal'!$B396,'GDP Deflator'!$B$6:$B$91,0)))</f>
        <v>10.731126900800293</v>
      </c>
      <c r="M396" s="91">
        <f>'IEPR Gas Prices Real'!M398*(INDEX('GDP Deflator'!$D$6:$D$91,MATCH('IEPR Gas Prices Nominal'!$B396,'GDP Deflator'!$B$6:$B$91,0)))</f>
        <v>4.7023996494485392</v>
      </c>
      <c r="N396" s="91">
        <f>'IEPR Gas Prices Real'!N398*(INDEX('GDP Deflator'!$D$6:$D$91,MATCH('IEPR Gas Prices Nominal'!$B396,'GDP Deflator'!$B$6:$B$91,0)))</f>
        <v>15.433526550248832</v>
      </c>
      <c r="O396" s="19"/>
      <c r="P396" s="229">
        <f t="shared" si="37"/>
        <v>10.323099099276062</v>
      </c>
      <c r="Q396" s="229">
        <f t="shared" si="41"/>
        <v>17.216623232284718</v>
      </c>
      <c r="R396" s="144"/>
    </row>
    <row r="397" spans="2:18">
      <c r="B397" s="142">
        <f t="shared" si="38"/>
        <v>2054</v>
      </c>
      <c r="C397" s="19">
        <f t="shared" si="39"/>
        <v>8</v>
      </c>
      <c r="D397" s="143">
        <v>56462</v>
      </c>
      <c r="E397" s="19" t="str">
        <f t="shared" si="40"/>
        <v>8-2054</v>
      </c>
      <c r="F397" s="91">
        <f>'IEPR Gas Prices Real'!F399*(INDEX('GDP Deflator'!$D$6:$D$91,MATCH('IEPR Gas Prices Nominal'!$B397,'GDP Deflator'!$B$6:$B$91,0)))</f>
        <v>9.8105703978490233</v>
      </c>
      <c r="G397" s="91">
        <f>'IEPR Gas Prices Real'!G399*(INDEX('GDP Deflator'!$D$6:$D$91,MATCH('IEPR Gas Prices Nominal'!$B397,'GDP Deflator'!$B$6:$B$91,0)))</f>
        <v>6.0208218741568809</v>
      </c>
      <c r="H397" s="91">
        <f>'IEPR Gas Prices Real'!H399*(INDEX('GDP Deflator'!$D$6:$D$91,MATCH('IEPR Gas Prices Nominal'!$B397,'GDP Deflator'!$B$6:$B$91,0)))</f>
        <v>15.831392272005903</v>
      </c>
      <c r="I397" s="91">
        <f>'IEPR Gas Prices Real'!I399*(INDEX('GDP Deflator'!$D$6:$D$91,MATCH('IEPR Gas Prices Nominal'!$B397,'GDP Deflator'!$B$6:$B$91,0)))</f>
        <v>10.271623747686798</v>
      </c>
      <c r="J397" s="91">
        <f>'IEPR Gas Prices Real'!J399*(INDEX('GDP Deflator'!$D$6:$D$91,MATCH('IEPR Gas Prices Nominal'!$B397,'GDP Deflator'!$B$6:$B$91,0)))</f>
        <v>9.9573508754205502</v>
      </c>
      <c r="K397" s="91">
        <f>'IEPR Gas Prices Real'!K399*(INDEX('GDP Deflator'!$D$6:$D$91,MATCH('IEPR Gas Prices Nominal'!$B397,'GDP Deflator'!$B$6:$B$91,0)))</f>
        <v>20.228974623107348</v>
      </c>
      <c r="L397" s="91">
        <f>'IEPR Gas Prices Real'!L399*(INDEX('GDP Deflator'!$D$6:$D$91,MATCH('IEPR Gas Prices Nominal'!$B397,'GDP Deflator'!$B$6:$B$91,0)))</f>
        <v>10.64836836000071</v>
      </c>
      <c r="M397" s="91">
        <f>'IEPR Gas Prices Real'!M399*(INDEX('GDP Deflator'!$D$6:$D$91,MATCH('IEPR Gas Prices Nominal'!$B397,'GDP Deflator'!$B$6:$B$91,0)))</f>
        <v>4.7023996494485392</v>
      </c>
      <c r="N397" s="91">
        <f>'IEPR Gas Prices Real'!N399*(INDEX('GDP Deflator'!$D$6:$D$91,MATCH('IEPR Gas Prices Nominal'!$B397,'GDP Deflator'!$B$6:$B$91,0)))</f>
        <v>15.350768009449249</v>
      </c>
      <c r="O397" s="19"/>
      <c r="P397" s="229">
        <f t="shared" si="37"/>
        <v>10.243520835178844</v>
      </c>
      <c r="Q397" s="229">
        <f t="shared" si="41"/>
        <v>17.137044968187499</v>
      </c>
      <c r="R397" s="144"/>
    </row>
    <row r="398" spans="2:18">
      <c r="B398" s="142">
        <f t="shared" si="38"/>
        <v>2054</v>
      </c>
      <c r="C398" s="19">
        <f t="shared" si="39"/>
        <v>9</v>
      </c>
      <c r="D398" s="143">
        <v>56493</v>
      </c>
      <c r="E398" s="19" t="str">
        <f t="shared" si="40"/>
        <v>9-2054</v>
      </c>
      <c r="F398" s="91">
        <f>'IEPR Gas Prices Real'!F400*(INDEX('GDP Deflator'!$D$6:$D$91,MATCH('IEPR Gas Prices Nominal'!$B398,'GDP Deflator'!$B$6:$B$91,0)))</f>
        <v>9.9487844323044552</v>
      </c>
      <c r="G398" s="91">
        <f>'IEPR Gas Prices Real'!G400*(INDEX('GDP Deflator'!$D$6:$D$91,MATCH('IEPR Gas Prices Nominal'!$B398,'GDP Deflator'!$B$6:$B$91,0)))</f>
        <v>6.0208218741568809</v>
      </c>
      <c r="H398" s="91">
        <f>'IEPR Gas Prices Real'!H400*(INDEX('GDP Deflator'!$D$6:$D$91,MATCH('IEPR Gas Prices Nominal'!$B398,'GDP Deflator'!$B$6:$B$91,0)))</f>
        <v>15.969606306461335</v>
      </c>
      <c r="I398" s="91">
        <f>'IEPR Gas Prices Real'!I400*(INDEX('GDP Deflator'!$D$6:$D$91,MATCH('IEPR Gas Prices Nominal'!$B398,'GDP Deflator'!$B$6:$B$91,0)))</f>
        <v>10.416233511600552</v>
      </c>
      <c r="J398" s="91">
        <f>'IEPR Gas Prices Real'!J400*(INDEX('GDP Deflator'!$D$6:$D$91,MATCH('IEPR Gas Prices Nominal'!$B398,'GDP Deflator'!$B$6:$B$91,0)))</f>
        <v>9.9573508754205502</v>
      </c>
      <c r="K398" s="91">
        <f>'IEPR Gas Prices Real'!K400*(INDEX('GDP Deflator'!$D$6:$D$91,MATCH('IEPR Gas Prices Nominal'!$B398,'GDP Deflator'!$B$6:$B$91,0)))</f>
        <v>20.373584387021104</v>
      </c>
      <c r="L398" s="91">
        <f>'IEPR Gas Prices Real'!L400*(INDEX('GDP Deflator'!$D$6:$D$91,MATCH('IEPR Gas Prices Nominal'!$B398,'GDP Deflator'!$B$6:$B$91,0)))</f>
        <v>10.798278506079882</v>
      </c>
      <c r="M398" s="91">
        <f>'IEPR Gas Prices Real'!M400*(INDEX('GDP Deflator'!$D$6:$D$91,MATCH('IEPR Gas Prices Nominal'!$B398,'GDP Deflator'!$B$6:$B$91,0)))</f>
        <v>4.7023996494485392</v>
      </c>
      <c r="N398" s="91">
        <f>'IEPR Gas Prices Real'!N400*(INDEX('GDP Deflator'!$D$6:$D$91,MATCH('IEPR Gas Prices Nominal'!$B398,'GDP Deflator'!$B$6:$B$91,0)))</f>
        <v>15.500678155528421</v>
      </c>
      <c r="O398" s="19"/>
      <c r="P398" s="229">
        <f t="shared" ref="P398:P413" si="42">AVERAGE(F398,I398,L398)</f>
        <v>10.387765483328296</v>
      </c>
      <c r="Q398" s="229">
        <f t="shared" ref="Q398:Q413" si="43">AVERAGE(H398,K398,N398)</f>
        <v>17.281289616336952</v>
      </c>
      <c r="R398" s="144"/>
    </row>
    <row r="399" spans="2:18">
      <c r="B399" s="142">
        <f t="shared" si="38"/>
        <v>2054</v>
      </c>
      <c r="C399" s="19">
        <f t="shared" si="39"/>
        <v>10</v>
      </c>
      <c r="D399" s="143">
        <v>56523</v>
      </c>
      <c r="E399" s="19" t="str">
        <f t="shared" si="40"/>
        <v>10-2054</v>
      </c>
      <c r="F399" s="91">
        <f>'IEPR Gas Prices Real'!F401*(INDEX('GDP Deflator'!$D$6:$D$91,MATCH('IEPR Gas Prices Nominal'!$B399,'GDP Deflator'!$B$6:$B$91,0)))</f>
        <v>9.8916730387413523</v>
      </c>
      <c r="G399" s="91">
        <f>'IEPR Gas Prices Real'!G401*(INDEX('GDP Deflator'!$D$6:$D$91,MATCH('IEPR Gas Prices Nominal'!$B399,'GDP Deflator'!$B$6:$B$91,0)))</f>
        <v>6.0208218741568809</v>
      </c>
      <c r="H399" s="91">
        <f>'IEPR Gas Prices Real'!H401*(INDEX('GDP Deflator'!$D$6:$D$91,MATCH('IEPR Gas Prices Nominal'!$B399,'GDP Deflator'!$B$6:$B$91,0)))</f>
        <v>15.912494912898234</v>
      </c>
      <c r="I399" s="91">
        <f>'IEPR Gas Prices Real'!I401*(INDEX('GDP Deflator'!$D$6:$D$91,MATCH('IEPR Gas Prices Nominal'!$B399,'GDP Deflator'!$B$6:$B$91,0)))</f>
        <v>10.356339558591257</v>
      </c>
      <c r="J399" s="91">
        <f>'IEPR Gas Prices Real'!J401*(INDEX('GDP Deflator'!$D$6:$D$91,MATCH('IEPR Gas Prices Nominal'!$B399,'GDP Deflator'!$B$6:$B$91,0)))</f>
        <v>9.9573508754205502</v>
      </c>
      <c r="K399" s="91">
        <f>'IEPR Gas Prices Real'!K401*(INDEX('GDP Deflator'!$D$6:$D$91,MATCH('IEPR Gas Prices Nominal'!$B399,'GDP Deflator'!$B$6:$B$91,0)))</f>
        <v>20.313690434011807</v>
      </c>
      <c r="L399" s="91">
        <f>'IEPR Gas Prices Real'!L401*(INDEX('GDP Deflator'!$D$6:$D$91,MATCH('IEPR Gas Prices Nominal'!$B399,'GDP Deflator'!$B$6:$B$91,0)))</f>
        <v>10.736184149838484</v>
      </c>
      <c r="M399" s="91">
        <f>'IEPR Gas Prices Real'!M401*(INDEX('GDP Deflator'!$D$6:$D$91,MATCH('IEPR Gas Prices Nominal'!$B399,'GDP Deflator'!$B$6:$B$91,0)))</f>
        <v>4.7023996494485392</v>
      </c>
      <c r="N399" s="91">
        <f>'IEPR Gas Prices Real'!N401*(INDEX('GDP Deflator'!$D$6:$D$91,MATCH('IEPR Gas Prices Nominal'!$B399,'GDP Deflator'!$B$6:$B$91,0)))</f>
        <v>15.438583799287024</v>
      </c>
      <c r="O399" s="19"/>
      <c r="P399" s="229">
        <f t="shared" si="42"/>
        <v>10.328065582390366</v>
      </c>
      <c r="Q399" s="229">
        <f t="shared" si="43"/>
        <v>17.221589715399023</v>
      </c>
      <c r="R399" s="144"/>
    </row>
    <row r="400" spans="2:18">
      <c r="B400" s="142">
        <f t="shared" si="38"/>
        <v>2054</v>
      </c>
      <c r="C400" s="19">
        <f t="shared" si="39"/>
        <v>11</v>
      </c>
      <c r="D400" s="143">
        <v>56554</v>
      </c>
      <c r="E400" s="19" t="str">
        <f t="shared" si="40"/>
        <v>11-2054</v>
      </c>
      <c r="F400" s="91">
        <f>'IEPR Gas Prices Real'!F402*(INDEX('GDP Deflator'!$D$6:$D$91,MATCH('IEPR Gas Prices Nominal'!$B400,'GDP Deflator'!$B$6:$B$91,0)))</f>
        <v>10.380816578557369</v>
      </c>
      <c r="G400" s="91">
        <f>'IEPR Gas Prices Real'!G402*(INDEX('GDP Deflator'!$D$6:$D$91,MATCH('IEPR Gas Prices Nominal'!$B400,'GDP Deflator'!$B$6:$B$91,0)))</f>
        <v>6.0208218741568809</v>
      </c>
      <c r="H400" s="91">
        <f>'IEPR Gas Prices Real'!H402*(INDEX('GDP Deflator'!$D$6:$D$91,MATCH('IEPR Gas Prices Nominal'!$B400,'GDP Deflator'!$B$6:$B$91,0)))</f>
        <v>16.401638452714252</v>
      </c>
      <c r="I400" s="91">
        <f>'IEPR Gas Prices Real'!I402*(INDEX('GDP Deflator'!$D$6:$D$91,MATCH('IEPR Gas Prices Nominal'!$B400,'GDP Deflator'!$B$6:$B$91,0)))</f>
        <v>10.868356815866756</v>
      </c>
      <c r="J400" s="91">
        <f>'IEPR Gas Prices Real'!J402*(INDEX('GDP Deflator'!$D$6:$D$91,MATCH('IEPR Gas Prices Nominal'!$B400,'GDP Deflator'!$B$6:$B$91,0)))</f>
        <v>9.9573508754205502</v>
      </c>
      <c r="K400" s="91">
        <f>'IEPR Gas Prices Real'!K402*(INDEX('GDP Deflator'!$D$6:$D$91,MATCH('IEPR Gas Prices Nominal'!$B400,'GDP Deflator'!$B$6:$B$91,0)))</f>
        <v>20.825707691287306</v>
      </c>
      <c r="L400" s="91">
        <f>'IEPR Gas Prices Real'!L402*(INDEX('GDP Deflator'!$D$6:$D$91,MATCH('IEPR Gas Prices Nominal'!$B400,'GDP Deflator'!$B$6:$B$91,0)))</f>
        <v>11.266977116022321</v>
      </c>
      <c r="M400" s="91">
        <f>'IEPR Gas Prices Real'!M402*(INDEX('GDP Deflator'!$D$6:$D$91,MATCH('IEPR Gas Prices Nominal'!$B400,'GDP Deflator'!$B$6:$B$91,0)))</f>
        <v>4.7023996494485392</v>
      </c>
      <c r="N400" s="91">
        <f>'IEPR Gas Prices Real'!N402*(INDEX('GDP Deflator'!$D$6:$D$91,MATCH('IEPR Gas Prices Nominal'!$B400,'GDP Deflator'!$B$6:$B$91,0)))</f>
        <v>15.96937676547086</v>
      </c>
      <c r="O400" s="19"/>
      <c r="P400" s="229">
        <f t="shared" si="42"/>
        <v>10.838716836815484</v>
      </c>
      <c r="Q400" s="229">
        <f t="shared" si="43"/>
        <v>17.73224096982414</v>
      </c>
      <c r="R400" s="144"/>
    </row>
    <row r="401" spans="2:18">
      <c r="B401" s="142">
        <f t="shared" ref="B401:B413" si="44">YEAR(D401)</f>
        <v>2054</v>
      </c>
      <c r="C401" s="19">
        <f t="shared" ref="C401:C413" si="45">MONTH(D401)</f>
        <v>12</v>
      </c>
      <c r="D401" s="143">
        <v>56584</v>
      </c>
      <c r="E401" s="19" t="str">
        <f t="shared" ref="E401:E413" si="46">C401&amp;"-"&amp;B401</f>
        <v>12-2054</v>
      </c>
      <c r="F401" s="91">
        <f>'IEPR Gas Prices Real'!F403*(INDEX('GDP Deflator'!$D$6:$D$91,MATCH('IEPR Gas Prices Nominal'!$B401,'GDP Deflator'!$B$6:$B$91,0)))</f>
        <v>10.46454563412968</v>
      </c>
      <c r="G401" s="91">
        <f>'IEPR Gas Prices Real'!G403*(INDEX('GDP Deflator'!$D$6:$D$91,MATCH('IEPR Gas Prices Nominal'!$B401,'GDP Deflator'!$B$6:$B$91,0)))</f>
        <v>6.0208218741568809</v>
      </c>
      <c r="H401" s="91">
        <f>'IEPR Gas Prices Real'!H403*(INDEX('GDP Deflator'!$D$6:$D$91,MATCH('IEPR Gas Prices Nominal'!$B401,'GDP Deflator'!$B$6:$B$91,0)))</f>
        <v>16.485367508286561</v>
      </c>
      <c r="I401" s="91">
        <f>'IEPR Gas Prices Real'!I403*(INDEX('GDP Deflator'!$D$6:$D$91,MATCH('IEPR Gas Prices Nominal'!$B401,'GDP Deflator'!$B$6:$B$91,0)))</f>
        <v>10.955913348521589</v>
      </c>
      <c r="J401" s="91">
        <f>'IEPR Gas Prices Real'!J403*(INDEX('GDP Deflator'!$D$6:$D$91,MATCH('IEPR Gas Prices Nominal'!$B401,'GDP Deflator'!$B$6:$B$91,0)))</f>
        <v>9.9573508754205502</v>
      </c>
      <c r="K401" s="91">
        <f>'IEPR Gas Prices Real'!K403*(INDEX('GDP Deflator'!$D$6:$D$91,MATCH('IEPR Gas Prices Nominal'!$B401,'GDP Deflator'!$B$6:$B$91,0)))</f>
        <v>20.913264223942136</v>
      </c>
      <c r="L401" s="91">
        <f>'IEPR Gas Prices Real'!L403*(INDEX('GDP Deflator'!$D$6:$D$91,MATCH('IEPR Gas Prices Nominal'!$B401,'GDP Deflator'!$B$6:$B$91,0)))</f>
        <v>11.357741140053035</v>
      </c>
      <c r="M401" s="91">
        <f>'IEPR Gas Prices Real'!M403*(INDEX('GDP Deflator'!$D$6:$D$91,MATCH('IEPR Gas Prices Nominal'!$B401,'GDP Deflator'!$B$6:$B$91,0)))</f>
        <v>4.7023996494485392</v>
      </c>
      <c r="N401" s="91">
        <f>'IEPR Gas Prices Real'!N403*(INDEX('GDP Deflator'!$D$6:$D$91,MATCH('IEPR Gas Prices Nominal'!$B401,'GDP Deflator'!$B$6:$B$91,0)))</f>
        <v>16.060140789501574</v>
      </c>
      <c r="O401" s="19"/>
      <c r="P401" s="229">
        <f t="shared" si="42"/>
        <v>10.926066707568102</v>
      </c>
      <c r="Q401" s="229">
        <f t="shared" si="43"/>
        <v>17.819590840576755</v>
      </c>
      <c r="R401" s="144"/>
    </row>
    <row r="402" spans="2:18">
      <c r="B402" s="142">
        <f t="shared" si="44"/>
        <v>2055</v>
      </c>
      <c r="C402" s="19">
        <f t="shared" si="45"/>
        <v>1</v>
      </c>
      <c r="D402" s="143">
        <v>56615</v>
      </c>
      <c r="E402" s="19" t="str">
        <f t="shared" si="46"/>
        <v>1-2055</v>
      </c>
      <c r="F402" s="91">
        <f>'IEPR Gas Prices Real'!F404*(INDEX('GDP Deflator'!$D$6:$D$91,MATCH('IEPR Gas Prices Nominal'!$B402,'GDP Deflator'!$B$6:$B$91,0)))</f>
        <v>10.671357912190951</v>
      </c>
      <c r="G402" s="91">
        <f>'IEPR Gas Prices Real'!G404*(INDEX('GDP Deflator'!$D$6:$D$91,MATCH('IEPR Gas Prices Nominal'!$B402,'GDP Deflator'!$B$6:$B$91,0)))</f>
        <v>6.3840615974540116</v>
      </c>
      <c r="H402" s="91">
        <f>'IEPR Gas Prices Real'!H404*(INDEX('GDP Deflator'!$D$6:$D$91,MATCH('IEPR Gas Prices Nominal'!$B402,'GDP Deflator'!$B$6:$B$91,0)))</f>
        <v>17.055419509644963</v>
      </c>
      <c r="I402" s="91">
        <f>'IEPR Gas Prices Real'!I404*(INDEX('GDP Deflator'!$D$6:$D$91,MATCH('IEPR Gas Prices Nominal'!$B402,'GDP Deflator'!$B$6:$B$91,0)))</f>
        <v>11.172313977202357</v>
      </c>
      <c r="J402" s="91">
        <f>'IEPR Gas Prices Real'!J404*(INDEX('GDP Deflator'!$D$6:$D$91,MATCH('IEPR Gas Prices Nominal'!$B402,'GDP Deflator'!$B$6:$B$91,0)))</f>
        <v>10.559454649696589</v>
      </c>
      <c r="K402" s="91">
        <f>'IEPR Gas Prices Real'!K404*(INDEX('GDP Deflator'!$D$6:$D$91,MATCH('IEPR Gas Prices Nominal'!$B402,'GDP Deflator'!$B$6:$B$91,0)))</f>
        <v>21.731768626898944</v>
      </c>
      <c r="L402" s="91">
        <f>'IEPR Gas Prices Real'!L404*(INDEX('GDP Deflator'!$D$6:$D$91,MATCH('IEPR Gas Prices Nominal'!$B402,'GDP Deflator'!$B$6:$B$91,0)))</f>
        <v>11.582083368532613</v>
      </c>
      <c r="M402" s="91">
        <f>'IEPR Gas Prices Real'!M404*(INDEX('GDP Deflator'!$D$6:$D$91,MATCH('IEPR Gas Prices Nominal'!$B402,'GDP Deflator'!$B$6:$B$91,0)))</f>
        <v>4.9867456178201426</v>
      </c>
      <c r="N402" s="91">
        <f>'IEPR Gas Prices Real'!N404*(INDEX('GDP Deflator'!$D$6:$D$91,MATCH('IEPR Gas Prices Nominal'!$B402,'GDP Deflator'!$B$6:$B$91,0)))</f>
        <v>16.568828986352752</v>
      </c>
      <c r="O402" s="19"/>
      <c r="P402" s="229">
        <f t="shared" si="42"/>
        <v>11.14191841930864</v>
      </c>
      <c r="Q402" s="229">
        <f t="shared" si="43"/>
        <v>18.452005707632221</v>
      </c>
      <c r="R402" s="144"/>
    </row>
    <row r="403" spans="2:18">
      <c r="B403" s="142">
        <f t="shared" si="44"/>
        <v>2055</v>
      </c>
      <c r="C403" s="19">
        <f t="shared" si="45"/>
        <v>2</v>
      </c>
      <c r="D403" s="143">
        <v>56646</v>
      </c>
      <c r="E403" s="19" t="str">
        <f t="shared" si="46"/>
        <v>2-2055</v>
      </c>
      <c r="F403" s="91">
        <f>'IEPR Gas Prices Real'!F405*(INDEX('GDP Deflator'!$D$6:$D$91,MATCH('IEPR Gas Prices Nominal'!$B403,'GDP Deflator'!$B$6:$B$91,0)))</f>
        <v>10.437618729707994</v>
      </c>
      <c r="G403" s="91">
        <f>'IEPR Gas Prices Real'!G405*(INDEX('GDP Deflator'!$D$6:$D$91,MATCH('IEPR Gas Prices Nominal'!$B403,'GDP Deflator'!$B$6:$B$91,0)))</f>
        <v>6.3840615974540116</v>
      </c>
      <c r="H403" s="91">
        <f>'IEPR Gas Prices Real'!H405*(INDEX('GDP Deflator'!$D$6:$D$91,MATCH('IEPR Gas Prices Nominal'!$B403,'GDP Deflator'!$B$6:$B$91,0)))</f>
        <v>16.821680327162007</v>
      </c>
      <c r="I403" s="91">
        <f>'IEPR Gas Prices Real'!I405*(INDEX('GDP Deflator'!$D$6:$D$91,MATCH('IEPR Gas Prices Nominal'!$B403,'GDP Deflator'!$B$6:$B$91,0)))</f>
        <v>10.927482208926492</v>
      </c>
      <c r="J403" s="91">
        <f>'IEPR Gas Prices Real'!J405*(INDEX('GDP Deflator'!$D$6:$D$91,MATCH('IEPR Gas Prices Nominal'!$B403,'GDP Deflator'!$B$6:$B$91,0)))</f>
        <v>10.559454649696589</v>
      </c>
      <c r="K403" s="91">
        <f>'IEPR Gas Prices Real'!K405*(INDEX('GDP Deflator'!$D$6:$D$91,MATCH('IEPR Gas Prices Nominal'!$B403,'GDP Deflator'!$B$6:$B$91,0)))</f>
        <v>21.486936858623078</v>
      </c>
      <c r="L403" s="91">
        <f>'IEPR Gas Prices Real'!L405*(INDEX('GDP Deflator'!$D$6:$D$91,MATCH('IEPR Gas Prices Nominal'!$B403,'GDP Deflator'!$B$6:$B$91,0)))</f>
        <v>11.328276467322699</v>
      </c>
      <c r="M403" s="91">
        <f>'IEPR Gas Prices Real'!M405*(INDEX('GDP Deflator'!$D$6:$D$91,MATCH('IEPR Gas Prices Nominal'!$B403,'GDP Deflator'!$B$6:$B$91,0)))</f>
        <v>4.9867456178201426</v>
      </c>
      <c r="N403" s="91">
        <f>'IEPR Gas Prices Real'!N405*(INDEX('GDP Deflator'!$D$6:$D$91,MATCH('IEPR Gas Prices Nominal'!$B403,'GDP Deflator'!$B$6:$B$91,0)))</f>
        <v>16.315022085142839</v>
      </c>
      <c r="O403" s="19"/>
      <c r="P403" s="229">
        <f t="shared" si="42"/>
        <v>10.897792468652392</v>
      </c>
      <c r="Q403" s="229">
        <f t="shared" si="43"/>
        <v>18.207879756975974</v>
      </c>
      <c r="R403" s="144"/>
    </row>
    <row r="404" spans="2:18">
      <c r="B404" s="142">
        <f t="shared" si="44"/>
        <v>2055</v>
      </c>
      <c r="C404" s="19">
        <f t="shared" si="45"/>
        <v>3</v>
      </c>
      <c r="D404" s="143">
        <v>56674</v>
      </c>
      <c r="E404" s="19" t="str">
        <f t="shared" si="46"/>
        <v>3-2055</v>
      </c>
      <c r="F404" s="91">
        <f>'IEPR Gas Prices Real'!F406*(INDEX('GDP Deflator'!$D$6:$D$91,MATCH('IEPR Gas Prices Nominal'!$B404,'GDP Deflator'!$B$6:$B$91,0)))</f>
        <v>9.5819730765066886</v>
      </c>
      <c r="G404" s="91">
        <f>'IEPR Gas Prices Real'!G406*(INDEX('GDP Deflator'!$D$6:$D$91,MATCH('IEPR Gas Prices Nominal'!$B404,'GDP Deflator'!$B$6:$B$91,0)))</f>
        <v>6.3840615974540116</v>
      </c>
      <c r="H404" s="91">
        <f>'IEPR Gas Prices Real'!H406*(INDEX('GDP Deflator'!$D$6:$D$91,MATCH('IEPR Gas Prices Nominal'!$B404,'GDP Deflator'!$B$6:$B$91,0)))</f>
        <v>15.966034673960699</v>
      </c>
      <c r="I404" s="91">
        <f>'IEPR Gas Prices Real'!I406*(INDEX('GDP Deflator'!$D$6:$D$91,MATCH('IEPR Gas Prices Nominal'!$B404,'GDP Deflator'!$B$6:$B$91,0)))</f>
        <v>10.031568861833703</v>
      </c>
      <c r="J404" s="91">
        <f>'IEPR Gas Prices Real'!J406*(INDEX('GDP Deflator'!$D$6:$D$91,MATCH('IEPR Gas Prices Nominal'!$B404,'GDP Deflator'!$B$6:$B$91,0)))</f>
        <v>10.559454649696589</v>
      </c>
      <c r="K404" s="91">
        <f>'IEPR Gas Prices Real'!K406*(INDEX('GDP Deflator'!$D$6:$D$91,MATCH('IEPR Gas Prices Nominal'!$B404,'GDP Deflator'!$B$6:$B$91,0)))</f>
        <v>20.591023511530292</v>
      </c>
      <c r="L404" s="91">
        <f>'IEPR Gas Prices Real'!L406*(INDEX('GDP Deflator'!$D$6:$D$91,MATCH('IEPR Gas Prices Nominal'!$B404,'GDP Deflator'!$B$6:$B$91,0)))</f>
        <v>10.399507370023363</v>
      </c>
      <c r="M404" s="91">
        <f>'IEPR Gas Prices Real'!M406*(INDEX('GDP Deflator'!$D$6:$D$91,MATCH('IEPR Gas Prices Nominal'!$B404,'GDP Deflator'!$B$6:$B$91,0)))</f>
        <v>4.9867456178201426</v>
      </c>
      <c r="N404" s="91">
        <f>'IEPR Gas Prices Real'!N406*(INDEX('GDP Deflator'!$D$6:$D$91,MATCH('IEPR Gas Prices Nominal'!$B404,'GDP Deflator'!$B$6:$B$91,0)))</f>
        <v>15.386252987843505</v>
      </c>
      <c r="O404" s="19"/>
      <c r="P404" s="229">
        <f t="shared" si="42"/>
        <v>10.004349769454585</v>
      </c>
      <c r="Q404" s="229">
        <f t="shared" si="43"/>
        <v>17.314437057778164</v>
      </c>
      <c r="R404" s="144"/>
    </row>
    <row r="405" spans="2:18">
      <c r="B405" s="142">
        <f t="shared" si="44"/>
        <v>2055</v>
      </c>
      <c r="C405" s="19">
        <f t="shared" si="45"/>
        <v>4</v>
      </c>
      <c r="D405" s="143">
        <v>56705</v>
      </c>
      <c r="E405" s="19" t="str">
        <f t="shared" si="46"/>
        <v>4-2055</v>
      </c>
      <c r="F405" s="91">
        <f>'IEPR Gas Prices Real'!F407*(INDEX('GDP Deflator'!$D$6:$D$91,MATCH('IEPR Gas Prices Nominal'!$B405,'GDP Deflator'!$B$6:$B$91,0)))</f>
        <v>9.4191391161426434</v>
      </c>
      <c r="G405" s="91">
        <f>'IEPR Gas Prices Real'!G407*(INDEX('GDP Deflator'!$D$6:$D$91,MATCH('IEPR Gas Prices Nominal'!$B405,'GDP Deflator'!$B$6:$B$91,0)))</f>
        <v>6.3840615974540116</v>
      </c>
      <c r="H405" s="91">
        <f>'IEPR Gas Prices Real'!H407*(INDEX('GDP Deflator'!$D$6:$D$91,MATCH('IEPR Gas Prices Nominal'!$B405,'GDP Deflator'!$B$6:$B$91,0)))</f>
        <v>15.803200713596654</v>
      </c>
      <c r="I405" s="91">
        <f>'IEPR Gas Prices Real'!I407*(INDEX('GDP Deflator'!$D$6:$D$91,MATCH('IEPR Gas Prices Nominal'!$B405,'GDP Deflator'!$B$6:$B$91,0)))</f>
        <v>9.8609863263657758</v>
      </c>
      <c r="J405" s="91">
        <f>'IEPR Gas Prices Real'!J407*(INDEX('GDP Deflator'!$D$6:$D$91,MATCH('IEPR Gas Prices Nominal'!$B405,'GDP Deflator'!$B$6:$B$91,0)))</f>
        <v>10.559454649696589</v>
      </c>
      <c r="K405" s="91">
        <f>'IEPR Gas Prices Real'!K407*(INDEX('GDP Deflator'!$D$6:$D$91,MATCH('IEPR Gas Prices Nominal'!$B405,'GDP Deflator'!$B$6:$B$91,0)))</f>
        <v>20.420440976062366</v>
      </c>
      <c r="L405" s="91">
        <f>'IEPR Gas Prices Real'!L407*(INDEX('GDP Deflator'!$D$6:$D$91,MATCH('IEPR Gas Prices Nominal'!$B405,'GDP Deflator'!$B$6:$B$91,0)))</f>
        <v>10.22267236288503</v>
      </c>
      <c r="M405" s="91">
        <f>'IEPR Gas Prices Real'!M407*(INDEX('GDP Deflator'!$D$6:$D$91,MATCH('IEPR Gas Prices Nominal'!$B405,'GDP Deflator'!$B$6:$B$91,0)))</f>
        <v>4.9867456178201426</v>
      </c>
      <c r="N405" s="91">
        <f>'IEPR Gas Prices Real'!N407*(INDEX('GDP Deflator'!$D$6:$D$91,MATCH('IEPR Gas Prices Nominal'!$B405,'GDP Deflator'!$B$6:$B$91,0)))</f>
        <v>15.209417980705172</v>
      </c>
      <c r="O405" s="19"/>
      <c r="P405" s="229">
        <f t="shared" si="42"/>
        <v>9.8342659351311497</v>
      </c>
      <c r="Q405" s="229">
        <f t="shared" si="43"/>
        <v>17.144353223454729</v>
      </c>
      <c r="R405" s="144"/>
    </row>
    <row r="406" spans="2:18">
      <c r="B406" s="142">
        <f t="shared" si="44"/>
        <v>2055</v>
      </c>
      <c r="C406" s="19">
        <f t="shared" si="45"/>
        <v>5</v>
      </c>
      <c r="D406" s="143">
        <v>56735</v>
      </c>
      <c r="E406" s="19" t="str">
        <f t="shared" si="46"/>
        <v>5-2055</v>
      </c>
      <c r="F406" s="91">
        <f>'IEPR Gas Prices Real'!F408*(INDEX('GDP Deflator'!$D$6:$D$91,MATCH('IEPR Gas Prices Nominal'!$B406,'GDP Deflator'!$B$6:$B$91,0)))</f>
        <v>9.7471678292380339</v>
      </c>
      <c r="G406" s="91">
        <f>'IEPR Gas Prices Real'!G408*(INDEX('GDP Deflator'!$D$6:$D$91,MATCH('IEPR Gas Prices Nominal'!$B406,'GDP Deflator'!$B$6:$B$91,0)))</f>
        <v>6.3840615974540116</v>
      </c>
      <c r="H406" s="91">
        <f>'IEPR Gas Prices Real'!H408*(INDEX('GDP Deflator'!$D$6:$D$91,MATCH('IEPR Gas Prices Nominal'!$B406,'GDP Deflator'!$B$6:$B$91,0)))</f>
        <v>16.131229426692045</v>
      </c>
      <c r="I406" s="91">
        <f>'IEPR Gas Prices Real'!I408*(INDEX('GDP Deflator'!$D$6:$D$91,MATCH('IEPR Gas Prices Nominal'!$B406,'GDP Deflator'!$B$6:$B$91,0)))</f>
        <v>10.204290689593867</v>
      </c>
      <c r="J406" s="91">
        <f>'IEPR Gas Prices Real'!J408*(INDEX('GDP Deflator'!$D$6:$D$91,MATCH('IEPR Gas Prices Nominal'!$B406,'GDP Deflator'!$B$6:$B$91,0)))</f>
        <v>10.559454649696589</v>
      </c>
      <c r="K406" s="91">
        <f>'IEPR Gas Prices Real'!K408*(INDEX('GDP Deflator'!$D$6:$D$91,MATCH('IEPR Gas Prices Nominal'!$B406,'GDP Deflator'!$B$6:$B$91,0)))</f>
        <v>20.763745339290452</v>
      </c>
      <c r="L406" s="91">
        <f>'IEPR Gas Prices Real'!L408*(INDEX('GDP Deflator'!$D$6:$D$91,MATCH('IEPR Gas Prices Nominal'!$B406,'GDP Deflator'!$B$6:$B$91,0)))</f>
        <v>10.578572920435448</v>
      </c>
      <c r="M406" s="91">
        <f>'IEPR Gas Prices Real'!M408*(INDEX('GDP Deflator'!$D$6:$D$91,MATCH('IEPR Gas Prices Nominal'!$B406,'GDP Deflator'!$B$6:$B$91,0)))</f>
        <v>4.9867456178201426</v>
      </c>
      <c r="N406" s="91">
        <f>'IEPR Gas Prices Real'!N408*(INDEX('GDP Deflator'!$D$6:$D$91,MATCH('IEPR Gas Prices Nominal'!$B406,'GDP Deflator'!$B$6:$B$91,0)))</f>
        <v>15.565318538255591</v>
      </c>
      <c r="O406" s="19"/>
      <c r="P406" s="229">
        <f t="shared" si="42"/>
        <v>10.176677146422449</v>
      </c>
      <c r="Q406" s="229">
        <f t="shared" si="43"/>
        <v>17.486764434746028</v>
      </c>
      <c r="R406" s="144"/>
    </row>
    <row r="407" spans="2:18">
      <c r="B407" s="142">
        <f t="shared" si="44"/>
        <v>2055</v>
      </c>
      <c r="C407" s="19">
        <f t="shared" si="45"/>
        <v>6</v>
      </c>
      <c r="D407" s="143">
        <v>56766</v>
      </c>
      <c r="E407" s="19" t="str">
        <f t="shared" si="46"/>
        <v>6-2055</v>
      </c>
      <c r="F407" s="91">
        <f>'IEPR Gas Prices Real'!F409*(INDEX('GDP Deflator'!$D$6:$D$91,MATCH('IEPR Gas Prices Nominal'!$B407,'GDP Deflator'!$B$6:$B$91,0)))</f>
        <v>9.9993740125250579</v>
      </c>
      <c r="G407" s="91">
        <f>'IEPR Gas Prices Real'!G409*(INDEX('GDP Deflator'!$D$6:$D$91,MATCH('IEPR Gas Prices Nominal'!$B407,'GDP Deflator'!$B$6:$B$91,0)))</f>
        <v>6.3840615974540116</v>
      </c>
      <c r="H407" s="91">
        <f>'IEPR Gas Prices Real'!H409*(INDEX('GDP Deflator'!$D$6:$D$91,MATCH('IEPR Gas Prices Nominal'!$B407,'GDP Deflator'!$B$6:$B$91,0)))</f>
        <v>16.38343560997907</v>
      </c>
      <c r="I407" s="91">
        <f>'IEPR Gas Prices Real'!I409*(INDEX('GDP Deflator'!$D$6:$D$91,MATCH('IEPR Gas Prices Nominal'!$B407,'GDP Deflator'!$B$6:$B$91,0)))</f>
        <v>10.46820992391485</v>
      </c>
      <c r="J407" s="91">
        <f>'IEPR Gas Prices Real'!J409*(INDEX('GDP Deflator'!$D$6:$D$91,MATCH('IEPR Gas Prices Nominal'!$B407,'GDP Deflator'!$B$6:$B$91,0)))</f>
        <v>10.559454649696589</v>
      </c>
      <c r="K407" s="91">
        <f>'IEPR Gas Prices Real'!K409*(INDEX('GDP Deflator'!$D$6:$D$91,MATCH('IEPR Gas Prices Nominal'!$B407,'GDP Deflator'!$B$6:$B$91,0)))</f>
        <v>21.027664573611435</v>
      </c>
      <c r="L407" s="91">
        <f>'IEPR Gas Prices Real'!L409*(INDEX('GDP Deflator'!$D$6:$D$91,MATCH('IEPR Gas Prices Nominal'!$B407,'GDP Deflator'!$B$6:$B$91,0)))</f>
        <v>10.85217684607767</v>
      </c>
      <c r="M407" s="91">
        <f>'IEPR Gas Prices Real'!M409*(INDEX('GDP Deflator'!$D$6:$D$91,MATCH('IEPR Gas Prices Nominal'!$B407,'GDP Deflator'!$B$6:$B$91,0)))</f>
        <v>4.9867456178201426</v>
      </c>
      <c r="N407" s="91">
        <f>'IEPR Gas Prices Real'!N409*(INDEX('GDP Deflator'!$D$6:$D$91,MATCH('IEPR Gas Prices Nominal'!$B407,'GDP Deflator'!$B$6:$B$91,0)))</f>
        <v>15.838922463897813</v>
      </c>
      <c r="O407" s="19"/>
      <c r="P407" s="229">
        <f t="shared" si="42"/>
        <v>10.439920260839193</v>
      </c>
      <c r="Q407" s="229">
        <f t="shared" si="43"/>
        <v>17.750007549162774</v>
      </c>
      <c r="R407" s="144"/>
    </row>
    <row r="408" spans="2:18">
      <c r="B408" s="142">
        <f t="shared" si="44"/>
        <v>2055</v>
      </c>
      <c r="C408" s="19">
        <f t="shared" si="45"/>
        <v>7</v>
      </c>
      <c r="D408" s="143">
        <v>56796</v>
      </c>
      <c r="E408" s="19" t="str">
        <f t="shared" si="46"/>
        <v>7-2055</v>
      </c>
      <c r="F408" s="91">
        <f>'IEPR Gas Prices Real'!F410*(INDEX('GDP Deflator'!$D$6:$D$91,MATCH('IEPR Gas Prices Nominal'!$B408,'GDP Deflator'!$B$6:$B$91,0)))</f>
        <v>10.078927479155617</v>
      </c>
      <c r="G408" s="91">
        <f>'IEPR Gas Prices Real'!G410*(INDEX('GDP Deflator'!$D$6:$D$91,MATCH('IEPR Gas Prices Nominal'!$B408,'GDP Deflator'!$B$6:$B$91,0)))</f>
        <v>6.3840615974540116</v>
      </c>
      <c r="H408" s="91">
        <f>'IEPR Gas Prices Real'!H410*(INDEX('GDP Deflator'!$D$6:$D$91,MATCH('IEPR Gas Prices Nominal'!$B408,'GDP Deflator'!$B$6:$B$91,0)))</f>
        <v>16.462989076609627</v>
      </c>
      <c r="I408" s="91">
        <f>'IEPR Gas Prices Real'!I410*(INDEX('GDP Deflator'!$D$6:$D$91,MATCH('IEPR Gas Prices Nominal'!$B408,'GDP Deflator'!$B$6:$B$91,0)))</f>
        <v>10.551377538134124</v>
      </c>
      <c r="J408" s="91">
        <f>'IEPR Gas Prices Real'!J410*(INDEX('GDP Deflator'!$D$6:$D$91,MATCH('IEPR Gas Prices Nominal'!$B408,'GDP Deflator'!$B$6:$B$91,0)))</f>
        <v>10.559454649696589</v>
      </c>
      <c r="K408" s="91">
        <f>'IEPR Gas Prices Real'!K410*(INDEX('GDP Deflator'!$D$6:$D$91,MATCH('IEPR Gas Prices Nominal'!$B408,'GDP Deflator'!$B$6:$B$91,0)))</f>
        <v>21.110832187830713</v>
      </c>
      <c r="L408" s="91">
        <f>'IEPR Gas Prices Real'!L410*(INDEX('GDP Deflator'!$D$6:$D$91,MATCH('IEPR Gas Prices Nominal'!$B408,'GDP Deflator'!$B$6:$B$91,0)))</f>
        <v>10.93839945026477</v>
      </c>
      <c r="M408" s="91">
        <f>'IEPR Gas Prices Real'!M410*(INDEX('GDP Deflator'!$D$6:$D$91,MATCH('IEPR Gas Prices Nominal'!$B408,'GDP Deflator'!$B$6:$B$91,0)))</f>
        <v>4.9867456178201426</v>
      </c>
      <c r="N408" s="91">
        <f>'IEPR Gas Prices Real'!N410*(INDEX('GDP Deflator'!$D$6:$D$91,MATCH('IEPR Gas Prices Nominal'!$B408,'GDP Deflator'!$B$6:$B$91,0)))</f>
        <v>15.925145068084912</v>
      </c>
      <c r="O408" s="19"/>
      <c r="P408" s="229">
        <f t="shared" si="42"/>
        <v>10.522901489184838</v>
      </c>
      <c r="Q408" s="229">
        <f t="shared" si="43"/>
        <v>17.832988777508419</v>
      </c>
      <c r="R408" s="144"/>
    </row>
    <row r="409" spans="2:18">
      <c r="B409" s="142">
        <f t="shared" si="44"/>
        <v>2055</v>
      </c>
      <c r="C409" s="19">
        <f t="shared" si="45"/>
        <v>8</v>
      </c>
      <c r="D409" s="143">
        <v>56827</v>
      </c>
      <c r="E409" s="19" t="str">
        <f t="shared" si="46"/>
        <v>8-2055</v>
      </c>
      <c r="F409" s="91">
        <f>'IEPR Gas Prices Real'!F411*(INDEX('GDP Deflator'!$D$6:$D$91,MATCH('IEPR Gas Prices Nominal'!$B409,'GDP Deflator'!$B$6:$B$91,0)))</f>
        <v>10.001299464837903</v>
      </c>
      <c r="G409" s="91">
        <f>'IEPR Gas Prices Real'!G411*(INDEX('GDP Deflator'!$D$6:$D$91,MATCH('IEPR Gas Prices Nominal'!$B409,'GDP Deflator'!$B$6:$B$91,0)))</f>
        <v>6.3840615974540116</v>
      </c>
      <c r="H409" s="91">
        <f>'IEPR Gas Prices Real'!H411*(INDEX('GDP Deflator'!$D$6:$D$91,MATCH('IEPR Gas Prices Nominal'!$B409,'GDP Deflator'!$B$6:$B$91,0)))</f>
        <v>16.385361062291913</v>
      </c>
      <c r="I409" s="91">
        <f>'IEPR Gas Prices Real'!I411*(INDEX('GDP Deflator'!$D$6:$D$91,MATCH('IEPR Gas Prices Nominal'!$B409,'GDP Deflator'!$B$6:$B$91,0)))</f>
        <v>10.469995757662645</v>
      </c>
      <c r="J409" s="91">
        <f>'IEPR Gas Prices Real'!J411*(INDEX('GDP Deflator'!$D$6:$D$91,MATCH('IEPR Gas Prices Nominal'!$B409,'GDP Deflator'!$B$6:$B$91,0)))</f>
        <v>10.559454649696589</v>
      </c>
      <c r="K409" s="91">
        <f>'IEPR Gas Prices Real'!K411*(INDEX('GDP Deflator'!$D$6:$D$91,MATCH('IEPR Gas Prices Nominal'!$B409,'GDP Deflator'!$B$6:$B$91,0)))</f>
        <v>21.029450407359231</v>
      </c>
      <c r="L409" s="91">
        <f>'IEPR Gas Prices Real'!L411*(INDEX('GDP Deflator'!$D$6:$D$91,MATCH('IEPR Gas Prices Nominal'!$B409,'GDP Deflator'!$B$6:$B$91,0)))</f>
        <v>10.854037029784578</v>
      </c>
      <c r="M409" s="91">
        <f>'IEPR Gas Prices Real'!M411*(INDEX('GDP Deflator'!$D$6:$D$91,MATCH('IEPR Gas Prices Nominal'!$B409,'GDP Deflator'!$B$6:$B$91,0)))</f>
        <v>4.9867456178201426</v>
      </c>
      <c r="N409" s="91">
        <f>'IEPR Gas Prices Real'!N411*(INDEX('GDP Deflator'!$D$6:$D$91,MATCH('IEPR Gas Prices Nominal'!$B409,'GDP Deflator'!$B$6:$B$91,0)))</f>
        <v>15.840782647604719</v>
      </c>
      <c r="O409" s="19"/>
      <c r="P409" s="229">
        <f t="shared" si="42"/>
        <v>10.441777417428375</v>
      </c>
      <c r="Q409" s="229">
        <f t="shared" si="43"/>
        <v>17.751864705751952</v>
      </c>
      <c r="R409" s="144"/>
    </row>
    <row r="410" spans="2:18">
      <c r="B410" s="142">
        <f t="shared" si="44"/>
        <v>2055</v>
      </c>
      <c r="C410" s="19">
        <f t="shared" si="45"/>
        <v>9</v>
      </c>
      <c r="D410" s="143">
        <v>56858</v>
      </c>
      <c r="E410" s="19" t="str">
        <f t="shared" si="46"/>
        <v>9-2055</v>
      </c>
      <c r="F410" s="91">
        <f>'IEPR Gas Prices Real'!F412*(INDEX('GDP Deflator'!$D$6:$D$91,MATCH('IEPR Gas Prices Nominal'!$B410,'GDP Deflator'!$B$6:$B$91,0)))</f>
        <v>10.142202211806175</v>
      </c>
      <c r="G410" s="91">
        <f>'IEPR Gas Prices Real'!G412*(INDEX('GDP Deflator'!$D$6:$D$91,MATCH('IEPR Gas Prices Nominal'!$B410,'GDP Deflator'!$B$6:$B$91,0)))</f>
        <v>6.3840615974540116</v>
      </c>
      <c r="H410" s="91">
        <f>'IEPR Gas Prices Real'!H412*(INDEX('GDP Deflator'!$D$6:$D$91,MATCH('IEPR Gas Prices Nominal'!$B410,'GDP Deflator'!$B$6:$B$91,0)))</f>
        <v>16.526263809260183</v>
      </c>
      <c r="I410" s="91">
        <f>'IEPR Gas Prices Real'!I412*(INDEX('GDP Deflator'!$D$6:$D$91,MATCH('IEPR Gas Prices Nominal'!$B410,'GDP Deflator'!$B$6:$B$91,0)))</f>
        <v>10.617385131638169</v>
      </c>
      <c r="J410" s="91">
        <f>'IEPR Gas Prices Real'!J412*(INDEX('GDP Deflator'!$D$6:$D$91,MATCH('IEPR Gas Prices Nominal'!$B410,'GDP Deflator'!$B$6:$B$91,0)))</f>
        <v>10.559454649696589</v>
      </c>
      <c r="K410" s="91">
        <f>'IEPR Gas Prices Real'!K412*(INDEX('GDP Deflator'!$D$6:$D$91,MATCH('IEPR Gas Prices Nominal'!$B410,'GDP Deflator'!$B$6:$B$91,0)))</f>
        <v>21.176839781334756</v>
      </c>
      <c r="L410" s="91">
        <f>'IEPR Gas Prices Real'!L412*(INDEX('GDP Deflator'!$D$6:$D$91,MATCH('IEPR Gas Prices Nominal'!$B410,'GDP Deflator'!$B$6:$B$91,0)))</f>
        <v>11.006837157794523</v>
      </c>
      <c r="M410" s="91">
        <f>'IEPR Gas Prices Real'!M412*(INDEX('GDP Deflator'!$D$6:$D$91,MATCH('IEPR Gas Prices Nominal'!$B410,'GDP Deflator'!$B$6:$B$91,0)))</f>
        <v>4.9867456178201426</v>
      </c>
      <c r="N410" s="91">
        <f>'IEPR Gas Prices Real'!N412*(INDEX('GDP Deflator'!$D$6:$D$91,MATCH('IEPR Gas Prices Nominal'!$B410,'GDP Deflator'!$B$6:$B$91,0)))</f>
        <v>15.993582775614666</v>
      </c>
      <c r="O410" s="19"/>
      <c r="P410" s="229">
        <f t="shared" si="42"/>
        <v>10.588808167079621</v>
      </c>
      <c r="Q410" s="229">
        <f t="shared" si="43"/>
        <v>17.898895455403203</v>
      </c>
      <c r="R410" s="144"/>
    </row>
    <row r="411" spans="2:18">
      <c r="B411" s="142">
        <f t="shared" si="44"/>
        <v>2055</v>
      </c>
      <c r="C411" s="19">
        <f t="shared" si="45"/>
        <v>10</v>
      </c>
      <c r="D411" s="143">
        <v>56888</v>
      </c>
      <c r="E411" s="19" t="str">
        <f t="shared" si="46"/>
        <v>10-2055</v>
      </c>
      <c r="F411" s="91">
        <f>'IEPR Gas Prices Real'!F413*(INDEX('GDP Deflator'!$D$6:$D$91,MATCH('IEPR Gas Prices Nominal'!$B411,'GDP Deflator'!$B$6:$B$91,0)))</f>
        <v>10.083982154820289</v>
      </c>
      <c r="G411" s="91">
        <f>'IEPR Gas Prices Real'!G413*(INDEX('GDP Deflator'!$D$6:$D$91,MATCH('IEPR Gas Prices Nominal'!$B411,'GDP Deflator'!$B$6:$B$91,0)))</f>
        <v>6.3840615974540116</v>
      </c>
      <c r="H411" s="91">
        <f>'IEPR Gas Prices Real'!H413*(INDEX('GDP Deflator'!$D$6:$D$91,MATCH('IEPR Gas Prices Nominal'!$B411,'GDP Deflator'!$B$6:$B$91,0)))</f>
        <v>16.468043752274301</v>
      </c>
      <c r="I411" s="91">
        <f>'IEPR Gas Prices Real'!I413*(INDEX('GDP Deflator'!$D$6:$D$91,MATCH('IEPR Gas Prices Nominal'!$B411,'GDP Deflator'!$B$6:$B$91,0)))</f>
        <v>10.556321436095383</v>
      </c>
      <c r="J411" s="91">
        <f>'IEPR Gas Prices Real'!J413*(INDEX('GDP Deflator'!$D$6:$D$91,MATCH('IEPR Gas Prices Nominal'!$B411,'GDP Deflator'!$B$6:$B$91,0)))</f>
        <v>10.559454649696589</v>
      </c>
      <c r="K411" s="91">
        <f>'IEPR Gas Prices Real'!K413*(INDEX('GDP Deflator'!$D$6:$D$91,MATCH('IEPR Gas Prices Nominal'!$B411,'GDP Deflator'!$B$6:$B$91,0)))</f>
        <v>21.115776085791968</v>
      </c>
      <c r="L411" s="91">
        <f>'IEPR Gas Prices Real'!L413*(INDEX('GDP Deflator'!$D$6:$D$91,MATCH('IEPR Gas Prices Nominal'!$B411,'GDP Deflator'!$B$6:$B$91,0)))</f>
        <v>10.943538069977869</v>
      </c>
      <c r="M411" s="91">
        <f>'IEPR Gas Prices Real'!M413*(INDEX('GDP Deflator'!$D$6:$D$91,MATCH('IEPR Gas Prices Nominal'!$B411,'GDP Deflator'!$B$6:$B$91,0)))</f>
        <v>4.9867456178201426</v>
      </c>
      <c r="N411" s="91">
        <f>'IEPR Gas Prices Real'!N413*(INDEX('GDP Deflator'!$D$6:$D$91,MATCH('IEPR Gas Prices Nominal'!$B411,'GDP Deflator'!$B$6:$B$91,0)))</f>
        <v>15.930283687798012</v>
      </c>
      <c r="O411" s="19"/>
      <c r="P411" s="229">
        <f t="shared" si="42"/>
        <v>10.527947220297847</v>
      </c>
      <c r="Q411" s="229">
        <f t="shared" si="43"/>
        <v>17.838034508621426</v>
      </c>
      <c r="R411" s="144"/>
    </row>
    <row r="412" spans="2:18">
      <c r="B412" s="142">
        <f t="shared" si="44"/>
        <v>2055</v>
      </c>
      <c r="C412" s="19">
        <f t="shared" si="45"/>
        <v>11</v>
      </c>
      <c r="D412" s="143">
        <v>56919</v>
      </c>
      <c r="E412" s="19" t="str">
        <f t="shared" si="46"/>
        <v>11-2055</v>
      </c>
      <c r="F412" s="91">
        <f>'IEPR Gas Prices Real'!F414*(INDEX('GDP Deflator'!$D$6:$D$91,MATCH('IEPR Gas Prices Nominal'!$B412,'GDP Deflator'!$B$6:$B$91,0)))</f>
        <v>10.582637127573587</v>
      </c>
      <c r="G412" s="91">
        <f>'IEPR Gas Prices Real'!G414*(INDEX('GDP Deflator'!$D$6:$D$91,MATCH('IEPR Gas Prices Nominal'!$B412,'GDP Deflator'!$B$6:$B$91,0)))</f>
        <v>6.3840615974540116</v>
      </c>
      <c r="H412" s="91">
        <f>'IEPR Gas Prices Real'!H414*(INDEX('GDP Deflator'!$D$6:$D$91,MATCH('IEPR Gas Prices Nominal'!$B412,'GDP Deflator'!$B$6:$B$91,0)))</f>
        <v>16.966698725027594</v>
      </c>
      <c r="I412" s="91">
        <f>'IEPR Gas Prices Real'!I414*(INDEX('GDP Deflator'!$D$6:$D$91,MATCH('IEPR Gas Prices Nominal'!$B412,'GDP Deflator'!$B$6:$B$91,0)))</f>
        <v>11.078212036258799</v>
      </c>
      <c r="J412" s="91">
        <f>'IEPR Gas Prices Real'!J414*(INDEX('GDP Deflator'!$D$6:$D$91,MATCH('IEPR Gas Prices Nominal'!$B412,'GDP Deflator'!$B$6:$B$91,0)))</f>
        <v>10.559454649696589</v>
      </c>
      <c r="K412" s="91">
        <f>'IEPR Gas Prices Real'!K414*(INDEX('GDP Deflator'!$D$6:$D$91,MATCH('IEPR Gas Prices Nominal'!$B412,'GDP Deflator'!$B$6:$B$91,0)))</f>
        <v>21.637666685955388</v>
      </c>
      <c r="L412" s="91">
        <f>'IEPR Gas Prices Real'!L414*(INDEX('GDP Deflator'!$D$6:$D$91,MATCH('IEPR Gas Prices Nominal'!$B412,'GDP Deflator'!$B$6:$B$91,0)))</f>
        <v>11.484576830841918</v>
      </c>
      <c r="M412" s="91">
        <f>'IEPR Gas Prices Real'!M414*(INDEX('GDP Deflator'!$D$6:$D$91,MATCH('IEPR Gas Prices Nominal'!$B412,'GDP Deflator'!$B$6:$B$91,0)))</f>
        <v>4.9867456178201426</v>
      </c>
      <c r="N412" s="91">
        <f>'IEPR Gas Prices Real'!N414*(INDEX('GDP Deflator'!$D$6:$D$91,MATCH('IEPR Gas Prices Nominal'!$B412,'GDP Deflator'!$B$6:$B$91,0)))</f>
        <v>16.471322448662061</v>
      </c>
      <c r="O412" s="19"/>
      <c r="P412" s="229">
        <f t="shared" si="42"/>
        <v>11.048475331558102</v>
      </c>
      <c r="Q412" s="229">
        <f t="shared" si="43"/>
        <v>18.358562619881681</v>
      </c>
      <c r="R412" s="144"/>
    </row>
    <row r="413" spans="2:18">
      <c r="B413" s="142">
        <f t="shared" si="44"/>
        <v>2055</v>
      </c>
      <c r="C413" s="19">
        <f t="shared" si="45"/>
        <v>12</v>
      </c>
      <c r="D413" s="143">
        <v>56949</v>
      </c>
      <c r="E413" s="19" t="str">
        <f t="shared" si="46"/>
        <v>12-2055</v>
      </c>
      <c r="F413" s="91">
        <f>'IEPR Gas Prices Real'!F415*(INDEX('GDP Deflator'!$D$6:$D$91,MATCH('IEPR Gas Prices Nominal'!$B413,'GDP Deflator'!$B$6:$B$91,0)))</f>
        <v>10.667995772204163</v>
      </c>
      <c r="G413" s="91">
        <f>'IEPR Gas Prices Real'!G415*(INDEX('GDP Deflator'!$D$6:$D$91,MATCH('IEPR Gas Prices Nominal'!$B413,'GDP Deflator'!$B$6:$B$91,0)))</f>
        <v>6.3840615974540116</v>
      </c>
      <c r="H413" s="91">
        <f>'IEPR Gas Prices Real'!H415*(INDEX('GDP Deflator'!$D$6:$D$91,MATCH('IEPR Gas Prices Nominal'!$B413,'GDP Deflator'!$B$6:$B$91,0)))</f>
        <v>17.052057369658176</v>
      </c>
      <c r="I413" s="91">
        <f>'IEPR Gas Prices Real'!I415*(INDEX('GDP Deflator'!$D$6:$D$91,MATCH('IEPR Gas Prices Nominal'!$B413,'GDP Deflator'!$B$6:$B$91,0)))</f>
        <v>11.167445313355749</v>
      </c>
      <c r="J413" s="91">
        <f>'IEPR Gas Prices Real'!J415*(INDEX('GDP Deflator'!$D$6:$D$91,MATCH('IEPR Gas Prices Nominal'!$B413,'GDP Deflator'!$B$6:$B$91,0)))</f>
        <v>10.559454649696589</v>
      </c>
      <c r="K413" s="91">
        <f>'IEPR Gas Prices Real'!K415*(INDEX('GDP Deflator'!$D$6:$D$91,MATCH('IEPR Gas Prices Nominal'!$B413,'GDP Deflator'!$B$6:$B$91,0)))</f>
        <v>21.726899963052336</v>
      </c>
      <c r="L413" s="91">
        <f>'IEPR Gas Prices Real'!L415*(INDEX('GDP Deflator'!$D$6:$D$91,MATCH('IEPR Gas Prices Nominal'!$B413,'GDP Deflator'!$B$6:$B$91,0)))</f>
        <v>11.577088032579626</v>
      </c>
      <c r="M413" s="91">
        <f>'IEPR Gas Prices Real'!M415*(INDEX('GDP Deflator'!$D$6:$D$91,MATCH('IEPR Gas Prices Nominal'!$B413,'GDP Deflator'!$B$6:$B$91,0)))</f>
        <v>4.9867456178201426</v>
      </c>
      <c r="N413" s="91">
        <f>'IEPR Gas Prices Real'!N415*(INDEX('GDP Deflator'!$D$6:$D$91,MATCH('IEPR Gas Prices Nominal'!$B413,'GDP Deflator'!$B$6:$B$91,0)))</f>
        <v>16.563833650399769</v>
      </c>
      <c r="O413" s="19"/>
      <c r="P413" s="229">
        <f t="shared" si="42"/>
        <v>11.137509706046513</v>
      </c>
      <c r="Q413" s="229">
        <f t="shared" si="43"/>
        <v>18.447596994370091</v>
      </c>
      <c r="R413" s="144"/>
    </row>
  </sheetData>
  <mergeCells count="6">
    <mergeCell ref="B4:C4"/>
    <mergeCell ref="Q4:Q5"/>
    <mergeCell ref="P4:P5"/>
    <mergeCell ref="L4:N4"/>
    <mergeCell ref="G4:H4"/>
    <mergeCell ref="J4:K4"/>
  </mergeCell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1CC16-1BCE-4B78-B754-C49E08B3723B}">
  <sheetPr codeName="Sheet13">
    <tabColor theme="5"/>
  </sheetPr>
  <dimension ref="A1:AX415"/>
  <sheetViews>
    <sheetView workbookViewId="0">
      <selection activeCell="P14" sqref="P14"/>
    </sheetView>
  </sheetViews>
  <sheetFormatPr baseColWidth="10" defaultColWidth="9.3984375" defaultRowHeight="15"/>
  <cols>
    <col min="1" max="1" width="8" style="5" customWidth="1"/>
    <col min="2" max="2" width="19.3984375" customWidth="1"/>
    <col min="5" max="5" width="13.3984375" bestFit="1" customWidth="1"/>
    <col min="6" max="6" width="19.59765625" bestFit="1" customWidth="1"/>
    <col min="7" max="7" width="21.59765625" bestFit="1" customWidth="1"/>
    <col min="8" max="8" width="17" bestFit="1" customWidth="1"/>
    <col min="9" max="9" width="19.59765625" bestFit="1" customWidth="1"/>
    <col min="10" max="10" width="21.59765625" bestFit="1" customWidth="1"/>
    <col min="11" max="11" width="17" bestFit="1" customWidth="1"/>
    <col min="12" max="12" width="19.59765625" bestFit="1" customWidth="1"/>
    <col min="13" max="13" width="21.59765625" bestFit="1" customWidth="1"/>
    <col min="14" max="14" width="17" bestFit="1" customWidth="1"/>
    <col min="16" max="16" width="19.3984375" customWidth="1"/>
    <col min="17" max="17" width="27.3984375" bestFit="1" customWidth="1"/>
    <col min="18" max="18" width="10" customWidth="1"/>
    <col min="19" max="19" width="17.59765625" bestFit="1" customWidth="1"/>
    <col min="20" max="20" width="10" customWidth="1"/>
  </cols>
  <sheetData>
    <row r="1" spans="1:50" s="19" customFormat="1">
      <c r="A1" s="5"/>
    </row>
    <row r="2" spans="1:50" s="19" customFormat="1">
      <c r="A2" s="234"/>
      <c r="B2" s="234" t="str">
        <f>"Gas Price Forecast ("&amp;$C$4&amp;" $/MMBtu)"</f>
        <v>Gas Price Forecast (2022 $/MMBtu)</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row>
    <row r="3" spans="1:50" s="19" customFormat="1">
      <c r="A3" s="5"/>
    </row>
    <row r="4" spans="1:50" s="19" customFormat="1">
      <c r="A4" s="5"/>
      <c r="B4" s="234" t="s">
        <v>184</v>
      </c>
      <c r="C4" s="215">
        <v>2022</v>
      </c>
    </row>
    <row r="5" spans="1:50" s="19" customFormat="1">
      <c r="A5" s="5"/>
    </row>
    <row r="6" spans="1:50" s="152" customFormat="1">
      <c r="A6" s="60"/>
      <c r="B6" s="273"/>
      <c r="C6" s="273"/>
      <c r="D6" s="234"/>
      <c r="E6" s="234"/>
      <c r="F6" s="234" t="s">
        <v>214</v>
      </c>
      <c r="G6" s="273" t="s">
        <v>198</v>
      </c>
      <c r="H6" s="273"/>
      <c r="I6" s="234" t="s">
        <v>199</v>
      </c>
      <c r="J6" s="273" t="s">
        <v>200</v>
      </c>
      <c r="K6" s="273"/>
      <c r="L6" s="273" t="s">
        <v>201</v>
      </c>
      <c r="M6" s="273"/>
      <c r="N6" s="273"/>
      <c r="O6" s="29"/>
      <c r="P6" s="273" t="s">
        <v>202</v>
      </c>
      <c r="Q6" s="273" t="s">
        <v>203</v>
      </c>
      <c r="R6" s="150"/>
      <c r="S6" s="46"/>
      <c r="T6" s="151"/>
      <c r="U6" s="151"/>
      <c r="V6" s="151"/>
      <c r="W6" s="151"/>
      <c r="X6" s="151"/>
      <c r="Y6" s="151"/>
      <c r="Z6" s="151"/>
      <c r="AA6" s="151"/>
      <c r="AB6" s="151"/>
      <c r="AC6" s="151"/>
      <c r="AD6" s="151"/>
      <c r="AE6" s="151"/>
      <c r="AF6" s="151"/>
      <c r="AG6" s="151"/>
      <c r="AH6" s="151"/>
      <c r="AI6" s="151"/>
      <c r="AJ6" s="151"/>
      <c r="AK6" s="151"/>
      <c r="AL6" s="151"/>
      <c r="AM6" s="151"/>
      <c r="AN6" s="151"/>
      <c r="AO6" s="151"/>
      <c r="AP6" s="151"/>
      <c r="AQ6" s="151"/>
      <c r="AR6" s="151"/>
      <c r="AS6" s="151"/>
      <c r="AT6" s="151"/>
      <c r="AU6" s="151"/>
      <c r="AV6" s="151"/>
      <c r="AW6" s="151"/>
    </row>
    <row r="7" spans="1:50" s="152" customFormat="1">
      <c r="A7" s="60"/>
      <c r="B7" s="234" t="s">
        <v>204</v>
      </c>
      <c r="C7" s="234" t="s">
        <v>49</v>
      </c>
      <c r="D7" s="234" t="s">
        <v>205</v>
      </c>
      <c r="E7" s="234" t="s">
        <v>206</v>
      </c>
      <c r="F7" s="234" t="s">
        <v>207</v>
      </c>
      <c r="G7" s="234" t="s">
        <v>208</v>
      </c>
      <c r="H7" s="234" t="s">
        <v>209</v>
      </c>
      <c r="I7" s="234" t="s">
        <v>207</v>
      </c>
      <c r="J7" s="234" t="s">
        <v>208</v>
      </c>
      <c r="K7" s="234" t="s">
        <v>209</v>
      </c>
      <c r="L7" s="234" t="s">
        <v>207</v>
      </c>
      <c r="M7" s="234" t="s">
        <v>208</v>
      </c>
      <c r="N7" s="234" t="s">
        <v>209</v>
      </c>
      <c r="O7" s="29"/>
      <c r="P7" s="273"/>
      <c r="Q7" s="273"/>
      <c r="R7" s="150"/>
      <c r="S7" s="238" t="s">
        <v>210</v>
      </c>
      <c r="T7" s="234">
        <f>'User Dashboard'!E$58</f>
        <v>2026</v>
      </c>
      <c r="U7" s="234">
        <f>'User Dashboard'!F$58</f>
        <v>2027</v>
      </c>
      <c r="V7" s="234">
        <f>'User Dashboard'!G$58</f>
        <v>2028</v>
      </c>
      <c r="W7" s="234">
        <f>'User Dashboard'!H$58</f>
        <v>2029</v>
      </c>
      <c r="X7" s="234">
        <f>'User Dashboard'!I$58</f>
        <v>2030</v>
      </c>
      <c r="Y7" s="234">
        <f>'User Dashboard'!J$58</f>
        <v>2031</v>
      </c>
      <c r="Z7" s="234">
        <f>'User Dashboard'!K$58</f>
        <v>2032</v>
      </c>
      <c r="AA7" s="234">
        <f>'User Dashboard'!L$58</f>
        <v>2033</v>
      </c>
      <c r="AB7" s="234">
        <f>'User Dashboard'!M$58</f>
        <v>2034</v>
      </c>
      <c r="AC7" s="234">
        <f>'User Dashboard'!N$58</f>
        <v>2035</v>
      </c>
      <c r="AD7" s="234">
        <f>'User Dashboard'!O$58</f>
        <v>2036</v>
      </c>
      <c r="AE7" s="234">
        <f>'User Dashboard'!P$58</f>
        <v>2037</v>
      </c>
      <c r="AF7" s="234">
        <f>'User Dashboard'!Q$58</f>
        <v>2038</v>
      </c>
      <c r="AG7" s="234">
        <f>'User Dashboard'!R$58</f>
        <v>2039</v>
      </c>
      <c r="AH7" s="234">
        <f>'User Dashboard'!S$58</f>
        <v>2040</v>
      </c>
      <c r="AI7" s="234">
        <f>'User Dashboard'!T$58</f>
        <v>2041</v>
      </c>
      <c r="AJ7" s="234">
        <f>'User Dashboard'!U$58</f>
        <v>2042</v>
      </c>
      <c r="AK7" s="234">
        <f>'User Dashboard'!V$58</f>
        <v>2043</v>
      </c>
      <c r="AL7" s="234">
        <f>'User Dashboard'!W$58</f>
        <v>2044</v>
      </c>
      <c r="AM7" s="234">
        <f>'User Dashboard'!X$58</f>
        <v>2045</v>
      </c>
      <c r="AN7" s="234">
        <f>'User Dashboard'!Y$58</f>
        <v>2046</v>
      </c>
      <c r="AO7" s="234">
        <f>'User Dashboard'!Z$58</f>
        <v>2047</v>
      </c>
      <c r="AP7" s="234">
        <f>'User Dashboard'!AA$58</f>
        <v>2048</v>
      </c>
      <c r="AQ7" s="234">
        <f>'User Dashboard'!AB$58</f>
        <v>2049</v>
      </c>
      <c r="AR7" s="234">
        <f>'User Dashboard'!AC$58</f>
        <v>2050</v>
      </c>
      <c r="AS7" s="234">
        <f>'User Dashboard'!AD$58</f>
        <v>2051</v>
      </c>
      <c r="AT7" s="234">
        <f>'User Dashboard'!AE$58</f>
        <v>2052</v>
      </c>
      <c r="AU7" s="234">
        <f>'User Dashboard'!AF$58</f>
        <v>2053</v>
      </c>
      <c r="AV7" s="234">
        <f>'User Dashboard'!AG$58</f>
        <v>2054</v>
      </c>
      <c r="AW7" s="234">
        <f>'User Dashboard'!AH$58</f>
        <v>2055</v>
      </c>
    </row>
    <row r="8" spans="1:50">
      <c r="B8" s="142">
        <f>YEAR(D8)</f>
        <v>2022</v>
      </c>
      <c r="C8" s="19">
        <f>MONTH(D8)</f>
        <v>1</v>
      </c>
      <c r="D8" s="143">
        <v>44562</v>
      </c>
      <c r="E8" s="19" t="str">
        <f>C8&amp;"-"&amp;B8</f>
        <v>1-2022</v>
      </c>
      <c r="F8" s="214">
        <v>7.1456828023246928</v>
      </c>
      <c r="G8" s="214">
        <v>0.8880808876599291</v>
      </c>
      <c r="H8" s="214">
        <v>8.033763689984621</v>
      </c>
      <c r="I8" s="214">
        <v>7.6905059775732125</v>
      </c>
      <c r="J8" s="214">
        <v>1.4664363155196718</v>
      </c>
      <c r="K8" s="214">
        <v>9.1569422930928841</v>
      </c>
      <c r="L8" s="214">
        <v>7.663440790131764</v>
      </c>
      <c r="M8" s="214">
        <v>0.69253054374736689</v>
      </c>
      <c r="N8" s="214">
        <v>8.3559713338791308</v>
      </c>
      <c r="O8" s="19"/>
      <c r="P8" s="226">
        <f>AVERAGE(F8,I8,L8)</f>
        <v>7.4998765233432225</v>
      </c>
      <c r="Q8" s="226">
        <f>AVERAGE(H8,K8,N8)</f>
        <v>8.5155591056522137</v>
      </c>
      <c r="R8" s="144"/>
      <c r="S8" s="145">
        <v>1</v>
      </c>
      <c r="T8" s="225">
        <f t="shared" ref="T8:AB19" si="0">INDEX($P$8:$P$415,MATCH(_xlfn.CONCAT($S8,"-",T$7),$E$8:$E$415,0))</f>
        <v>5.5406483233614097</v>
      </c>
      <c r="U8" s="225">
        <f t="shared" si="0"/>
        <v>5.5355627248575656</v>
      </c>
      <c r="V8" s="225">
        <f t="shared" si="0"/>
        <v>5.5298932774110057</v>
      </c>
      <c r="W8" s="225">
        <f t="shared" si="0"/>
        <v>5.5256846082773583</v>
      </c>
      <c r="X8" s="225">
        <f t="shared" si="0"/>
        <v>5.5221248053937479</v>
      </c>
      <c r="Y8" s="225">
        <f t="shared" si="0"/>
        <v>5.5178788613960235</v>
      </c>
      <c r="Z8" s="225">
        <f t="shared" si="0"/>
        <v>5.5136318086028906</v>
      </c>
      <c r="AA8" s="225">
        <f t="shared" si="0"/>
        <v>5.5104434142509975</v>
      </c>
      <c r="AB8" s="225">
        <f t="shared" si="0"/>
        <v>5.5054561984836639</v>
      </c>
      <c r="AC8" s="225">
        <f t="shared" ref="AC8:AL19" si="1">INDEX($P$8:$P$415,MATCH(_xlfn.CONCAT($S8,"-",AC$7),$E$8:$E$415,0))</f>
        <v>5.502566611162842</v>
      </c>
      <c r="AD8" s="225">
        <f t="shared" si="1"/>
        <v>5.4955100559738534</v>
      </c>
      <c r="AE8" s="225">
        <f t="shared" si="1"/>
        <v>5.4891654272736696</v>
      </c>
      <c r="AF8" s="225">
        <f t="shared" si="1"/>
        <v>5.4850872797197958</v>
      </c>
      <c r="AG8" s="225">
        <f t="shared" si="1"/>
        <v>5.4813584507119648</v>
      </c>
      <c r="AH8" s="225">
        <f t="shared" si="1"/>
        <v>5.477844222909571</v>
      </c>
      <c r="AI8" s="225">
        <f t="shared" si="1"/>
        <v>5.4731301884718926</v>
      </c>
      <c r="AJ8" s="225">
        <f t="shared" si="1"/>
        <v>5.4687842256927404</v>
      </c>
      <c r="AK8" s="225">
        <f t="shared" si="1"/>
        <v>5.4645824706956416</v>
      </c>
      <c r="AL8" s="225">
        <f t="shared" si="1"/>
        <v>5.4605953462772021</v>
      </c>
      <c r="AM8" s="225">
        <f t="shared" ref="AM8:AW19" si="2">INDEX($P$8:$P$415,MATCH(_xlfn.CONCAT($S8,"-",AM$7),$E$8:$E$415,0))</f>
        <v>5.4566944056464957</v>
      </c>
      <c r="AN8" s="225">
        <f t="shared" si="2"/>
        <v>5.4530410660728608</v>
      </c>
      <c r="AO8" s="225">
        <f t="shared" si="2"/>
        <v>5.4494533855446106</v>
      </c>
      <c r="AP8" s="225">
        <f t="shared" si="2"/>
        <v>5.4461346542652045</v>
      </c>
      <c r="AQ8" s="225">
        <f t="shared" si="2"/>
        <v>5.4429559278051824</v>
      </c>
      <c r="AR8" s="225">
        <f t="shared" si="2"/>
        <v>5.4399704360330281</v>
      </c>
      <c r="AS8" s="225">
        <f t="shared" si="2"/>
        <v>5.4370760904811526</v>
      </c>
      <c r="AT8" s="225">
        <f t="shared" si="2"/>
        <v>5.4344052896056461</v>
      </c>
      <c r="AU8" s="225">
        <f t="shared" si="2"/>
        <v>5.4317589753010518</v>
      </c>
      <c r="AV8" s="225">
        <f t="shared" si="2"/>
        <v>5.4298281947506881</v>
      </c>
      <c r="AW8" s="225">
        <f t="shared" si="2"/>
        <v>5.4281088704580123</v>
      </c>
    </row>
    <row r="9" spans="1:50">
      <c r="B9" s="142">
        <f t="shared" ref="B9:B72" si="3">YEAR(D9)</f>
        <v>2022</v>
      </c>
      <c r="C9" s="19">
        <f t="shared" ref="C9:C72" si="4">MONTH(D9)</f>
        <v>2</v>
      </c>
      <c r="D9" s="143">
        <v>44593</v>
      </c>
      <c r="E9" s="19" t="str">
        <f t="shared" ref="E9:E72" si="5">C9&amp;"-"&amp;B9</f>
        <v>2-2022</v>
      </c>
      <c r="F9" s="214">
        <v>6.9893045661019109</v>
      </c>
      <c r="G9" s="214">
        <v>0.8880808876599291</v>
      </c>
      <c r="H9" s="214">
        <v>7.87738545376184</v>
      </c>
      <c r="I9" s="214">
        <v>7.5222046698182128</v>
      </c>
      <c r="J9" s="214">
        <v>1.4664363155196718</v>
      </c>
      <c r="K9" s="214">
        <v>8.9886409853378844</v>
      </c>
      <c r="L9" s="214">
        <v>7.4957317849449332</v>
      </c>
      <c r="M9" s="214">
        <v>0.69253054374736689</v>
      </c>
      <c r="N9" s="214">
        <v>8.1882623286923</v>
      </c>
      <c r="O9" s="19"/>
      <c r="P9" s="226">
        <f t="shared" ref="P9:P72" si="6">AVERAGE(F9,I9,L9)</f>
        <v>7.3357470069550184</v>
      </c>
      <c r="Q9" s="226">
        <f t="shared" ref="Q9:Q72" si="7">AVERAGE(H9,K9,N9)</f>
        <v>8.3514295892640078</v>
      </c>
      <c r="R9" s="144"/>
      <c r="S9" s="146">
        <v>2</v>
      </c>
      <c r="T9" s="225">
        <f t="shared" si="0"/>
        <v>5.4189858779831779</v>
      </c>
      <c r="U9" s="225">
        <f t="shared" si="0"/>
        <v>5.413948372232646</v>
      </c>
      <c r="V9" s="225">
        <f t="shared" si="0"/>
        <v>5.408527146707315</v>
      </c>
      <c r="W9" s="225">
        <f t="shared" si="0"/>
        <v>5.4044737409237511</v>
      </c>
      <c r="X9" s="225">
        <f t="shared" si="0"/>
        <v>5.4009317526008838</v>
      </c>
      <c r="Y9" s="225">
        <f t="shared" si="0"/>
        <v>5.3967685841031274</v>
      </c>
      <c r="Z9" s="225">
        <f t="shared" si="0"/>
        <v>5.3927249744787185</v>
      </c>
      <c r="AA9" s="225">
        <f t="shared" si="0"/>
        <v>5.389426352838945</v>
      </c>
      <c r="AB9" s="225">
        <f t="shared" si="0"/>
        <v>5.3847688568847332</v>
      </c>
      <c r="AC9" s="225">
        <f t="shared" si="1"/>
        <v>5.3815678702847691</v>
      </c>
      <c r="AD9" s="225">
        <f t="shared" si="1"/>
        <v>5.3747109606175245</v>
      </c>
      <c r="AE9" s="225">
        <f t="shared" si="1"/>
        <v>5.3687041305412322</v>
      </c>
      <c r="AF9" s="225">
        <f t="shared" si="1"/>
        <v>5.364743651358638</v>
      </c>
      <c r="AG9" s="225">
        <f t="shared" si="1"/>
        <v>5.3611254682811689</v>
      </c>
      <c r="AH9" s="225">
        <f t="shared" si="1"/>
        <v>5.3575785772221947</v>
      </c>
      <c r="AI9" s="225">
        <f t="shared" si="1"/>
        <v>5.352999422627577</v>
      </c>
      <c r="AJ9" s="225">
        <f t="shared" si="1"/>
        <v>5.3487597031443856</v>
      </c>
      <c r="AK9" s="225">
        <f t="shared" si="1"/>
        <v>5.3446684679227872</v>
      </c>
      <c r="AL9" s="225">
        <f t="shared" si="1"/>
        <v>5.3407742918657908</v>
      </c>
      <c r="AM9" s="225">
        <f t="shared" si="2"/>
        <v>5.3369803958264681</v>
      </c>
      <c r="AN9" s="225">
        <f t="shared" si="2"/>
        <v>5.333410761719624</v>
      </c>
      <c r="AO9" s="225">
        <f t="shared" si="2"/>
        <v>5.3299245154652501</v>
      </c>
      <c r="AP9" s="225">
        <f t="shared" si="2"/>
        <v>5.326689351235685</v>
      </c>
      <c r="AQ9" s="225">
        <f t="shared" si="2"/>
        <v>5.3235968013975183</v>
      </c>
      <c r="AR9" s="225">
        <f t="shared" si="2"/>
        <v>5.3206829141445269</v>
      </c>
      <c r="AS9" s="225">
        <f t="shared" si="2"/>
        <v>5.3178721003814848</v>
      </c>
      <c r="AT9" s="225">
        <f t="shared" si="2"/>
        <v>5.3152562988403771</v>
      </c>
      <c r="AU9" s="225">
        <f t="shared" si="2"/>
        <v>5.3127297898425532</v>
      </c>
      <c r="AV9" s="225">
        <f t="shared" si="2"/>
        <v>5.3108603194679063</v>
      </c>
      <c r="AW9" s="225">
        <f t="shared" si="2"/>
        <v>5.3091758296299867</v>
      </c>
    </row>
    <row r="10" spans="1:50">
      <c r="B10" s="142">
        <f t="shared" si="3"/>
        <v>2022</v>
      </c>
      <c r="C10" s="19">
        <f t="shared" si="4"/>
        <v>3</v>
      </c>
      <c r="D10" s="143">
        <v>44621</v>
      </c>
      <c r="E10" s="19" t="str">
        <f t="shared" si="5"/>
        <v>3-2022</v>
      </c>
      <c r="F10" s="214">
        <v>6.4164671135239679</v>
      </c>
      <c r="G10" s="214">
        <v>0.8880808876599291</v>
      </c>
      <c r="H10" s="214">
        <v>7.304548001183897</v>
      </c>
      <c r="I10" s="214">
        <v>6.9056911783719812</v>
      </c>
      <c r="J10" s="214">
        <v>1.4664363155196718</v>
      </c>
      <c r="K10" s="214">
        <v>8.3721274938916537</v>
      </c>
      <c r="L10" s="214">
        <v>6.881387988607818</v>
      </c>
      <c r="M10" s="214">
        <v>0.69253054374736689</v>
      </c>
      <c r="N10" s="214">
        <v>7.5739185323551848</v>
      </c>
      <c r="O10" s="19"/>
      <c r="P10" s="226">
        <f t="shared" si="6"/>
        <v>6.7345154268345881</v>
      </c>
      <c r="Q10" s="226">
        <f t="shared" si="7"/>
        <v>7.7501980091435785</v>
      </c>
      <c r="R10" s="144"/>
      <c r="S10" s="146">
        <v>3</v>
      </c>
      <c r="T10" s="225">
        <f t="shared" si="0"/>
        <v>4.9744746923420964</v>
      </c>
      <c r="U10" s="225">
        <f t="shared" si="0"/>
        <v>4.9697920342671633</v>
      </c>
      <c r="V10" s="225">
        <f t="shared" si="0"/>
        <v>4.9649291025943532</v>
      </c>
      <c r="W10" s="225">
        <f t="shared" si="0"/>
        <v>4.9612658935819143</v>
      </c>
      <c r="X10" s="225">
        <f t="shared" si="0"/>
        <v>4.9579590392494763</v>
      </c>
      <c r="Y10" s="225">
        <f t="shared" si="0"/>
        <v>4.9541277678965621</v>
      </c>
      <c r="Z10" s="225">
        <f t="shared" si="0"/>
        <v>4.950517012046407</v>
      </c>
      <c r="AA10" s="225">
        <f t="shared" si="0"/>
        <v>4.9473234924722265</v>
      </c>
      <c r="AB10" s="225">
        <f t="shared" si="0"/>
        <v>4.9432502206357496</v>
      </c>
      <c r="AC10" s="225">
        <f t="shared" si="1"/>
        <v>4.9399676531462395</v>
      </c>
      <c r="AD10" s="225">
        <f t="shared" si="1"/>
        <v>4.9337142417281337</v>
      </c>
      <c r="AE10" s="225">
        <f t="shared" si="1"/>
        <v>4.9283823713783681</v>
      </c>
      <c r="AF10" s="225">
        <f t="shared" si="1"/>
        <v>4.9247725813224195</v>
      </c>
      <c r="AG10" s="225">
        <f t="shared" si="1"/>
        <v>4.9214776042328294</v>
      </c>
      <c r="AH10" s="225">
        <f t="shared" si="1"/>
        <v>4.9181208239242409</v>
      </c>
      <c r="AI10" s="225">
        <f t="shared" si="1"/>
        <v>4.9139460900022476</v>
      </c>
      <c r="AJ10" s="225">
        <f t="shared" si="1"/>
        <v>4.9100640766678287</v>
      </c>
      <c r="AK10" s="225">
        <f t="shared" si="1"/>
        <v>4.9063252011662799</v>
      </c>
      <c r="AL10" s="225">
        <f t="shared" si="1"/>
        <v>4.9027554148257861</v>
      </c>
      <c r="AM10" s="225">
        <f t="shared" si="2"/>
        <v>4.8992923620437008</v>
      </c>
      <c r="AN10" s="225">
        <f t="shared" si="2"/>
        <v>4.8960187390802092</v>
      </c>
      <c r="AO10" s="225">
        <f t="shared" si="2"/>
        <v>4.8928392644756409</v>
      </c>
      <c r="AP10" s="225">
        <f t="shared" si="2"/>
        <v>4.8898792939579288</v>
      </c>
      <c r="AQ10" s="225">
        <f t="shared" si="2"/>
        <v>4.8870554577629015</v>
      </c>
      <c r="AR10" s="225">
        <f t="shared" si="2"/>
        <v>4.8843861455498958</v>
      </c>
      <c r="AS10" s="225">
        <f t="shared" si="2"/>
        <v>4.881824239921472</v>
      </c>
      <c r="AT10" s="225">
        <f t="shared" si="2"/>
        <v>4.8794196606845324</v>
      </c>
      <c r="AU10" s="225">
        <f t="shared" si="2"/>
        <v>4.877157042131878</v>
      </c>
      <c r="AV10" s="225">
        <f t="shared" si="2"/>
        <v>4.875458286514184</v>
      </c>
      <c r="AW10" s="225">
        <f t="shared" si="2"/>
        <v>4.8739092930919723</v>
      </c>
    </row>
    <row r="11" spans="1:50">
      <c r="B11" s="142">
        <f t="shared" si="3"/>
        <v>2022</v>
      </c>
      <c r="C11" s="19">
        <f t="shared" si="4"/>
        <v>4</v>
      </c>
      <c r="D11" s="143">
        <v>44652</v>
      </c>
      <c r="E11" s="19" t="str">
        <f t="shared" si="5"/>
        <v>4-2022</v>
      </c>
      <c r="F11" s="214">
        <v>6.3075503701799951</v>
      </c>
      <c r="G11" s="214">
        <v>0.8880808876599291</v>
      </c>
      <c r="H11" s="214">
        <v>7.1956312578399242</v>
      </c>
      <c r="I11" s="214">
        <v>6.7884700689390067</v>
      </c>
      <c r="J11" s="214">
        <v>1.4664363155196718</v>
      </c>
      <c r="K11" s="214">
        <v>8.2549063844586783</v>
      </c>
      <c r="L11" s="214">
        <v>6.7645794152691066</v>
      </c>
      <c r="M11" s="214">
        <v>0.69253054374736689</v>
      </c>
      <c r="N11" s="214">
        <v>7.4571099590164733</v>
      </c>
      <c r="O11" s="19"/>
      <c r="P11" s="226">
        <f t="shared" si="6"/>
        <v>6.6201999514627028</v>
      </c>
      <c r="Q11" s="226">
        <f t="shared" si="7"/>
        <v>7.6358825337716922</v>
      </c>
      <c r="R11" s="144"/>
      <c r="S11" s="146">
        <v>4</v>
      </c>
      <c r="T11" s="225">
        <f t="shared" si="0"/>
        <v>4.8896658058736611</v>
      </c>
      <c r="U11" s="225">
        <f t="shared" si="0"/>
        <v>4.8850055967772859</v>
      </c>
      <c r="V11" s="225">
        <f t="shared" si="0"/>
        <v>4.880337251408382</v>
      </c>
      <c r="W11" s="225">
        <f t="shared" si="0"/>
        <v>4.8767932226243387</v>
      </c>
      <c r="X11" s="225">
        <f t="shared" si="0"/>
        <v>4.8734882727420485</v>
      </c>
      <c r="Y11" s="225">
        <f t="shared" si="0"/>
        <v>4.869712881032922</v>
      </c>
      <c r="Z11" s="225">
        <f t="shared" si="0"/>
        <v>4.8662631372167704</v>
      </c>
      <c r="AA11" s="225">
        <f t="shared" si="0"/>
        <v>4.8629613811444052</v>
      </c>
      <c r="AB11" s="225">
        <f t="shared" si="0"/>
        <v>4.8591563136981195</v>
      </c>
      <c r="AC11" s="225">
        <f t="shared" si="1"/>
        <v>4.8555913734199265</v>
      </c>
      <c r="AD11" s="225">
        <f t="shared" si="1"/>
        <v>4.8494849180710347</v>
      </c>
      <c r="AE11" s="225">
        <f t="shared" si="1"/>
        <v>4.8444230986318901</v>
      </c>
      <c r="AF11" s="225">
        <f t="shared" si="1"/>
        <v>4.840900231925052</v>
      </c>
      <c r="AG11" s="225">
        <f t="shared" si="1"/>
        <v>4.8376873958346165</v>
      </c>
      <c r="AH11" s="225">
        <f t="shared" si="1"/>
        <v>4.8342887134545611</v>
      </c>
      <c r="AI11" s="225">
        <f t="shared" si="1"/>
        <v>4.8302134666389156</v>
      </c>
      <c r="AJ11" s="225">
        <f t="shared" si="1"/>
        <v>4.8264073976244131</v>
      </c>
      <c r="AK11" s="225">
        <f t="shared" si="1"/>
        <v>4.8227487441340715</v>
      </c>
      <c r="AL11" s="225">
        <f t="shared" si="1"/>
        <v>4.8192446910133464</v>
      </c>
      <c r="AM11" s="225">
        <f t="shared" si="2"/>
        <v>4.8158599830431266</v>
      </c>
      <c r="AN11" s="225">
        <f t="shared" si="2"/>
        <v>4.8126453168678776</v>
      </c>
      <c r="AO11" s="225">
        <f t="shared" si="2"/>
        <v>4.8095404971620423</v>
      </c>
      <c r="AP11" s="225">
        <f t="shared" si="2"/>
        <v>4.8066406427987713</v>
      </c>
      <c r="AQ11" s="225">
        <f t="shared" si="2"/>
        <v>4.8038797320107882</v>
      </c>
      <c r="AR11" s="225">
        <f t="shared" si="2"/>
        <v>4.8012613878407384</v>
      </c>
      <c r="AS11" s="225">
        <f t="shared" si="2"/>
        <v>4.7987611910348589</v>
      </c>
      <c r="AT11" s="225">
        <f t="shared" si="2"/>
        <v>4.7963943156740454</v>
      </c>
      <c r="AU11" s="225">
        <f t="shared" si="2"/>
        <v>4.7942259595138976</v>
      </c>
      <c r="AV11" s="225">
        <f t="shared" si="2"/>
        <v>4.7925732371291829</v>
      </c>
      <c r="AW11" s="225">
        <f t="shared" si="2"/>
        <v>4.7910480177650401</v>
      </c>
    </row>
    <row r="12" spans="1:50">
      <c r="B12" s="142">
        <f t="shared" si="3"/>
        <v>2022</v>
      </c>
      <c r="C12" s="19">
        <f t="shared" si="4"/>
        <v>5</v>
      </c>
      <c r="D12" s="143">
        <v>44682</v>
      </c>
      <c r="E12" s="19" t="str">
        <f t="shared" si="5"/>
        <v>5-2022</v>
      </c>
      <c r="F12" s="214">
        <v>6.527343227031249</v>
      </c>
      <c r="G12" s="214">
        <v>0.8880808876599291</v>
      </c>
      <c r="H12" s="214">
        <v>7.4154241146911781</v>
      </c>
      <c r="I12" s="214">
        <v>7.0250210503081414</v>
      </c>
      <c r="J12" s="214">
        <v>1.4664363155196718</v>
      </c>
      <c r="K12" s="214">
        <v>8.491457365827813</v>
      </c>
      <c r="L12" s="214">
        <v>7.0002979030846468</v>
      </c>
      <c r="M12" s="214">
        <v>0.69253054374736689</v>
      </c>
      <c r="N12" s="214">
        <v>7.6928284468320136</v>
      </c>
      <c r="O12" s="19"/>
      <c r="P12" s="226">
        <f t="shared" si="6"/>
        <v>6.8508873934746788</v>
      </c>
      <c r="Q12" s="226">
        <f t="shared" si="7"/>
        <v>7.8665699757836682</v>
      </c>
      <c r="R12" s="144"/>
      <c r="S12" s="146">
        <v>5</v>
      </c>
      <c r="T12" s="225">
        <f t="shared" si="0"/>
        <v>5.0596688585901139</v>
      </c>
      <c r="U12" s="225">
        <f t="shared" si="0"/>
        <v>5.0547872352557368</v>
      </c>
      <c r="V12" s="225">
        <f t="shared" si="0"/>
        <v>5.050072161056649</v>
      </c>
      <c r="W12" s="225">
        <f t="shared" si="0"/>
        <v>5.0464636220972521</v>
      </c>
      <c r="X12" s="225">
        <f t="shared" si="0"/>
        <v>5.0429873903603584</v>
      </c>
      <c r="Y12" s="225">
        <f t="shared" si="0"/>
        <v>5.039070967855241</v>
      </c>
      <c r="Z12" s="225">
        <f t="shared" si="0"/>
        <v>5.0356042101889669</v>
      </c>
      <c r="AA12" s="225">
        <f t="shared" si="0"/>
        <v>5.0320192954797411</v>
      </c>
      <c r="AB12" s="225">
        <f t="shared" si="0"/>
        <v>5.0282876355746309</v>
      </c>
      <c r="AC12" s="225">
        <f t="shared" si="1"/>
        <v>5.0242485972809217</v>
      </c>
      <c r="AD12" s="225">
        <f t="shared" si="1"/>
        <v>5.0179715855212255</v>
      </c>
      <c r="AE12" s="225">
        <f t="shared" si="1"/>
        <v>5.0129191830974271</v>
      </c>
      <c r="AF12" s="225">
        <f t="shared" si="1"/>
        <v>5.0093001010872227</v>
      </c>
      <c r="AG12" s="225">
        <f t="shared" si="1"/>
        <v>5.0060024340463629</v>
      </c>
      <c r="AH12" s="225">
        <f t="shared" si="1"/>
        <v>5.0023829936036046</v>
      </c>
      <c r="AI12" s="225">
        <f t="shared" si="1"/>
        <v>4.9981953609663012</v>
      </c>
      <c r="AJ12" s="225">
        <f t="shared" si="1"/>
        <v>4.9942670646875671</v>
      </c>
      <c r="AK12" s="225">
        <f t="shared" si="1"/>
        <v>4.9904982618929905</v>
      </c>
      <c r="AL12" s="225">
        <f t="shared" si="1"/>
        <v>4.9868774232342714</v>
      </c>
      <c r="AM12" s="225">
        <f t="shared" si="2"/>
        <v>4.9833950143701395</v>
      </c>
      <c r="AN12" s="225">
        <f t="shared" si="2"/>
        <v>4.9800718364934715</v>
      </c>
      <c r="AO12" s="225">
        <f t="shared" si="2"/>
        <v>4.9768802317381278</v>
      </c>
      <c r="AP12" s="225">
        <f t="shared" si="2"/>
        <v>4.9738895450072649</v>
      </c>
      <c r="AQ12" s="225">
        <f t="shared" si="2"/>
        <v>4.9710479419662326</v>
      </c>
      <c r="AR12" s="225">
        <f t="shared" si="2"/>
        <v>4.9683442137659695</v>
      </c>
      <c r="AS12" s="225">
        <f t="shared" si="2"/>
        <v>4.965775751655495</v>
      </c>
      <c r="AT12" s="225">
        <f t="shared" si="2"/>
        <v>4.963323178890688</v>
      </c>
      <c r="AU12" s="225">
        <f t="shared" si="2"/>
        <v>4.9611370659694005</v>
      </c>
      <c r="AV12" s="225">
        <f t="shared" si="2"/>
        <v>4.9594445496930026</v>
      </c>
      <c r="AW12" s="225">
        <f t="shared" si="2"/>
        <v>4.9578635753205136</v>
      </c>
    </row>
    <row r="13" spans="1:50">
      <c r="B13" s="142">
        <f t="shared" si="3"/>
        <v>2022</v>
      </c>
      <c r="C13" s="19">
        <f t="shared" si="4"/>
        <v>6</v>
      </c>
      <c r="D13" s="143">
        <v>44713</v>
      </c>
      <c r="E13" s="19" t="str">
        <f t="shared" si="5"/>
        <v>6-2022</v>
      </c>
      <c r="F13" s="214">
        <v>5.8933446920913095</v>
      </c>
      <c r="G13" s="214">
        <v>0.8880808876599291</v>
      </c>
      <c r="H13" s="214">
        <v>6.7814255797512386</v>
      </c>
      <c r="I13" s="214">
        <v>6.2825875972566312</v>
      </c>
      <c r="J13" s="214">
        <v>1.4664363155196718</v>
      </c>
      <c r="K13" s="214">
        <v>7.7490239127763028</v>
      </c>
      <c r="L13" s="214">
        <v>6.3617699834319925</v>
      </c>
      <c r="M13" s="214">
        <v>0.69253054374736689</v>
      </c>
      <c r="N13" s="214">
        <v>7.0543005271793593</v>
      </c>
      <c r="O13" s="19"/>
      <c r="P13" s="226">
        <f t="shared" si="6"/>
        <v>6.1792340909266441</v>
      </c>
      <c r="Q13" s="226">
        <f t="shared" si="7"/>
        <v>7.1949166732356344</v>
      </c>
      <c r="R13" s="144"/>
      <c r="S13" s="146">
        <v>6</v>
      </c>
      <c r="T13" s="225">
        <f t="shared" si="0"/>
        <v>5.1902962293720316</v>
      </c>
      <c r="U13" s="225">
        <f t="shared" si="0"/>
        <v>5.1852276439683838</v>
      </c>
      <c r="V13" s="225">
        <f t="shared" si="0"/>
        <v>5.1805094201907034</v>
      </c>
      <c r="W13" s="225">
        <f t="shared" si="0"/>
        <v>5.1768679510146383</v>
      </c>
      <c r="X13" s="225">
        <f t="shared" si="0"/>
        <v>5.1732441319510114</v>
      </c>
      <c r="Y13" s="225">
        <f t="shared" si="0"/>
        <v>5.169216575349175</v>
      </c>
      <c r="Z13" s="225">
        <f t="shared" si="0"/>
        <v>5.1657659145813879</v>
      </c>
      <c r="AA13" s="225">
        <f t="shared" si="0"/>
        <v>5.1619157102232469</v>
      </c>
      <c r="AB13" s="225">
        <f t="shared" si="0"/>
        <v>5.1582987526735877</v>
      </c>
      <c r="AC13" s="225">
        <f t="shared" si="1"/>
        <v>5.1537961899242788</v>
      </c>
      <c r="AD13" s="225">
        <f t="shared" si="1"/>
        <v>5.1473999583570667</v>
      </c>
      <c r="AE13" s="225">
        <f t="shared" si="1"/>
        <v>5.1424073370577483</v>
      </c>
      <c r="AF13" s="225">
        <f t="shared" si="1"/>
        <v>5.1387217691828617</v>
      </c>
      <c r="AG13" s="225">
        <f t="shared" si="1"/>
        <v>5.1353665353506068</v>
      </c>
      <c r="AH13" s="225">
        <f t="shared" si="1"/>
        <v>5.1315483926017258</v>
      </c>
      <c r="AI13" s="225">
        <f t="shared" si="1"/>
        <v>5.1272827089663737</v>
      </c>
      <c r="AJ13" s="225">
        <f t="shared" si="1"/>
        <v>5.123263358230183</v>
      </c>
      <c r="AK13" s="225">
        <f t="shared" si="1"/>
        <v>5.1194147519005284</v>
      </c>
      <c r="AL13" s="225">
        <f t="shared" si="1"/>
        <v>5.1157056064365216</v>
      </c>
      <c r="AM13" s="225">
        <f t="shared" si="2"/>
        <v>5.1121537878380749</v>
      </c>
      <c r="AN13" s="225">
        <f t="shared" si="2"/>
        <v>5.1087481540316473</v>
      </c>
      <c r="AO13" s="225">
        <f t="shared" si="2"/>
        <v>5.1054958628490725</v>
      </c>
      <c r="AP13" s="225">
        <f t="shared" si="2"/>
        <v>5.1024382131467823</v>
      </c>
      <c r="AQ13" s="225">
        <f t="shared" si="2"/>
        <v>5.0995389433286853</v>
      </c>
      <c r="AR13" s="225">
        <f t="shared" si="2"/>
        <v>5.0967712088146637</v>
      </c>
      <c r="AS13" s="225">
        <f t="shared" si="2"/>
        <v>5.0941555815308606</v>
      </c>
      <c r="AT13" s="225">
        <f t="shared" si="2"/>
        <v>5.0916361950126579</v>
      </c>
      <c r="AU13" s="225">
        <f t="shared" si="2"/>
        <v>5.0894527715095146</v>
      </c>
      <c r="AV13" s="225">
        <f t="shared" si="2"/>
        <v>5.0877346854497612</v>
      </c>
      <c r="AW13" s="225">
        <f t="shared" si="2"/>
        <v>5.0861100972099811</v>
      </c>
    </row>
    <row r="14" spans="1:50">
      <c r="B14" s="142">
        <f t="shared" si="3"/>
        <v>2022</v>
      </c>
      <c r="C14" s="19">
        <f t="shared" si="4"/>
        <v>7</v>
      </c>
      <c r="D14" s="143">
        <v>44743</v>
      </c>
      <c r="E14" s="19" t="str">
        <f t="shared" si="5"/>
        <v>7-2022</v>
      </c>
      <c r="F14" s="214">
        <v>5.8054427213239075</v>
      </c>
      <c r="G14" s="214">
        <v>0.8880808876599291</v>
      </c>
      <c r="H14" s="214">
        <v>6.6935236089838366</v>
      </c>
      <c r="I14" s="214">
        <v>6.1774084137709648</v>
      </c>
      <c r="J14" s="214">
        <v>1.4664363155196718</v>
      </c>
      <c r="K14" s="214">
        <v>7.6438447292906364</v>
      </c>
      <c r="L14" s="214">
        <v>6.2747855806349273</v>
      </c>
      <c r="M14" s="214">
        <v>0.69253054374736689</v>
      </c>
      <c r="N14" s="214">
        <v>6.9673161243822941</v>
      </c>
      <c r="O14" s="19"/>
      <c r="P14" s="226">
        <f t="shared" si="6"/>
        <v>6.0858789052432662</v>
      </c>
      <c r="Q14" s="226">
        <f t="shared" si="7"/>
        <v>7.1015614875522557</v>
      </c>
      <c r="R14" s="144"/>
      <c r="S14" s="146">
        <v>7</v>
      </c>
      <c r="T14" s="225">
        <f t="shared" si="0"/>
        <v>5.2312964616415103</v>
      </c>
      <c r="U14" s="225">
        <f t="shared" si="0"/>
        <v>5.2261264154806275</v>
      </c>
      <c r="V14" s="225">
        <f t="shared" si="0"/>
        <v>5.2214904566033615</v>
      </c>
      <c r="W14" s="225">
        <f t="shared" si="0"/>
        <v>5.2178809397661565</v>
      </c>
      <c r="X14" s="225">
        <f t="shared" si="0"/>
        <v>5.2141701888437817</v>
      </c>
      <c r="Y14" s="225">
        <f t="shared" si="0"/>
        <v>5.2101007139132571</v>
      </c>
      <c r="Z14" s="225">
        <f t="shared" si="0"/>
        <v>5.2067292447296998</v>
      </c>
      <c r="AA14" s="225">
        <f t="shared" si="0"/>
        <v>5.202674498680242</v>
      </c>
      <c r="AB14" s="225">
        <f t="shared" si="0"/>
        <v>5.1992417126149189</v>
      </c>
      <c r="AC14" s="225">
        <f t="shared" si="1"/>
        <v>5.1943414426796037</v>
      </c>
      <c r="AD14" s="225">
        <f t="shared" si="1"/>
        <v>5.1879378657789523</v>
      </c>
      <c r="AE14" s="225">
        <f t="shared" si="1"/>
        <v>5.1830975582571375</v>
      </c>
      <c r="AF14" s="225">
        <f t="shared" si="1"/>
        <v>5.1794100429253653</v>
      </c>
      <c r="AG14" s="225">
        <f t="shared" si="1"/>
        <v>5.1760560970596536</v>
      </c>
      <c r="AH14" s="225">
        <f t="shared" si="1"/>
        <v>5.1721016879117609</v>
      </c>
      <c r="AI14" s="225">
        <f t="shared" si="1"/>
        <v>5.1678326126718117</v>
      </c>
      <c r="AJ14" s="225">
        <f t="shared" si="1"/>
        <v>5.1637919587607302</v>
      </c>
      <c r="AK14" s="225">
        <f t="shared" si="1"/>
        <v>5.159930588688491</v>
      </c>
      <c r="AL14" s="225">
        <f t="shared" si="1"/>
        <v>5.1561973585997469</v>
      </c>
      <c r="AM14" s="225">
        <f t="shared" si="2"/>
        <v>5.152638144719174</v>
      </c>
      <c r="AN14" s="225">
        <f t="shared" si="2"/>
        <v>5.1492089751373431</v>
      </c>
      <c r="AO14" s="225">
        <f t="shared" si="2"/>
        <v>5.1459528800549883</v>
      </c>
      <c r="AP14" s="225">
        <f t="shared" si="2"/>
        <v>5.1428814079813687</v>
      </c>
      <c r="AQ14" s="225">
        <f t="shared" si="2"/>
        <v>5.139975058002527</v>
      </c>
      <c r="AR14" s="225">
        <f t="shared" si="2"/>
        <v>5.137191303570078</v>
      </c>
      <c r="AS14" s="225">
        <f t="shared" si="2"/>
        <v>5.1345743143303961</v>
      </c>
      <c r="AT14" s="225">
        <f t="shared" si="2"/>
        <v>5.1320315032671351</v>
      </c>
      <c r="AU14" s="225">
        <f t="shared" si="2"/>
        <v>5.129890437231837</v>
      </c>
      <c r="AV14" s="225">
        <f t="shared" si="2"/>
        <v>5.1281770518153396</v>
      </c>
      <c r="AW14" s="225">
        <f t="shared" si="2"/>
        <v>5.1265368105203128</v>
      </c>
    </row>
    <row r="15" spans="1:50">
      <c r="B15" s="142">
        <f t="shared" si="3"/>
        <v>2022</v>
      </c>
      <c r="C15" s="19">
        <f t="shared" si="4"/>
        <v>8</v>
      </c>
      <c r="D15" s="143">
        <v>44774</v>
      </c>
      <c r="E15" s="19" t="str">
        <f t="shared" si="5"/>
        <v>8-2022</v>
      </c>
      <c r="F15" s="214">
        <v>5.6269735425090337</v>
      </c>
      <c r="G15" s="214">
        <v>0.8880808876599291</v>
      </c>
      <c r="H15" s="214">
        <v>6.5150544301689628</v>
      </c>
      <c r="I15" s="214">
        <v>5.9758565121977352</v>
      </c>
      <c r="J15" s="214">
        <v>1.4664363155196718</v>
      </c>
      <c r="K15" s="214">
        <v>7.4422928277174067</v>
      </c>
      <c r="L15" s="214">
        <v>6.0899138939940274</v>
      </c>
      <c r="M15" s="214">
        <v>0.69253054374736689</v>
      </c>
      <c r="N15" s="214">
        <v>6.7824444377413942</v>
      </c>
      <c r="O15" s="19"/>
      <c r="P15" s="226">
        <f t="shared" si="6"/>
        <v>5.8975813162335982</v>
      </c>
      <c r="Q15" s="226">
        <f t="shared" si="7"/>
        <v>6.9132638985425876</v>
      </c>
      <c r="R15" s="144"/>
      <c r="S15" s="146">
        <v>8</v>
      </c>
      <c r="T15" s="225">
        <f t="shared" si="0"/>
        <v>5.190714243252561</v>
      </c>
      <c r="U15" s="225">
        <f t="shared" si="0"/>
        <v>5.1855233494644253</v>
      </c>
      <c r="V15" s="225">
        <f t="shared" si="0"/>
        <v>5.1810419810802975</v>
      </c>
      <c r="W15" s="225">
        <f t="shared" si="0"/>
        <v>5.1775207212167382</v>
      </c>
      <c r="X15" s="225">
        <f t="shared" si="0"/>
        <v>5.1737808944659305</v>
      </c>
      <c r="Y15" s="225">
        <f t="shared" si="0"/>
        <v>5.1697329626435122</v>
      </c>
      <c r="Z15" s="225">
        <f t="shared" si="0"/>
        <v>5.1664932878198462</v>
      </c>
      <c r="AA15" s="225">
        <f t="shared" si="0"/>
        <v>5.1622971941171087</v>
      </c>
      <c r="AB15" s="225">
        <f t="shared" si="0"/>
        <v>5.159102162984472</v>
      </c>
      <c r="AC15" s="225">
        <f t="shared" si="1"/>
        <v>5.1538805226936084</v>
      </c>
      <c r="AD15" s="225">
        <f t="shared" si="1"/>
        <v>5.1475694746344152</v>
      </c>
      <c r="AE15" s="225">
        <f t="shared" si="1"/>
        <v>5.1429570099137321</v>
      </c>
      <c r="AF15" s="225">
        <f t="shared" si="1"/>
        <v>5.1393250604403251</v>
      </c>
      <c r="AG15" s="225">
        <f t="shared" si="1"/>
        <v>5.1360247139600883</v>
      </c>
      <c r="AH15" s="225">
        <f t="shared" si="1"/>
        <v>5.1319956833246811</v>
      </c>
      <c r="AI15" s="225">
        <f t="shared" si="1"/>
        <v>5.1277897999860214</v>
      </c>
      <c r="AJ15" s="225">
        <f t="shared" si="1"/>
        <v>5.1237908595944051</v>
      </c>
      <c r="AK15" s="225">
        <f t="shared" si="1"/>
        <v>5.119976948182134</v>
      </c>
      <c r="AL15" s="225">
        <f t="shared" si="1"/>
        <v>5.1162778546634904</v>
      </c>
      <c r="AM15" s="225">
        <f t="shared" si="2"/>
        <v>5.1127667564505153</v>
      </c>
      <c r="AN15" s="225">
        <f t="shared" si="2"/>
        <v>5.1093675300173658</v>
      </c>
      <c r="AO15" s="225">
        <f t="shared" si="2"/>
        <v>5.1061584151067745</v>
      </c>
      <c r="AP15" s="225">
        <f t="shared" si="2"/>
        <v>5.1031210228679189</v>
      </c>
      <c r="AQ15" s="225">
        <f t="shared" si="2"/>
        <v>5.1002529211054108</v>
      </c>
      <c r="AR15" s="225">
        <f t="shared" si="2"/>
        <v>5.0974965609514937</v>
      </c>
      <c r="AS15" s="225">
        <f t="shared" si="2"/>
        <v>5.094919026330456</v>
      </c>
      <c r="AT15" s="225">
        <f t="shared" si="2"/>
        <v>5.0923924452367801</v>
      </c>
      <c r="AU15" s="225">
        <f t="shared" si="2"/>
        <v>5.0903271404508112</v>
      </c>
      <c r="AV15" s="225">
        <f t="shared" si="2"/>
        <v>5.0886451802482755</v>
      </c>
      <c r="AW15" s="225">
        <f t="shared" si="2"/>
        <v>5.0870148649327547</v>
      </c>
    </row>
    <row r="16" spans="1:50">
      <c r="B16" s="142">
        <f t="shared" si="3"/>
        <v>2022</v>
      </c>
      <c r="C16" s="19">
        <f t="shared" si="4"/>
        <v>9</v>
      </c>
      <c r="D16" s="143">
        <v>44805</v>
      </c>
      <c r="E16" s="19" t="str">
        <f t="shared" si="5"/>
        <v>9-2022</v>
      </c>
      <c r="F16" s="214">
        <v>5.5706035393388413</v>
      </c>
      <c r="G16" s="214">
        <v>0.8880808876599291</v>
      </c>
      <c r="H16" s="214">
        <v>6.4586844269987704</v>
      </c>
      <c r="I16" s="214">
        <v>5.9038982488870086</v>
      </c>
      <c r="J16" s="214">
        <v>1.4664363155196718</v>
      </c>
      <c r="K16" s="214">
        <v>7.3703345644066802</v>
      </c>
      <c r="L16" s="214">
        <v>6.0372389924311092</v>
      </c>
      <c r="M16" s="214">
        <v>0.69253054374736689</v>
      </c>
      <c r="N16" s="214">
        <v>6.729769536178476</v>
      </c>
      <c r="O16" s="19"/>
      <c r="P16" s="226">
        <f t="shared" si="6"/>
        <v>5.8372469268856539</v>
      </c>
      <c r="Q16" s="226">
        <f t="shared" si="7"/>
        <v>6.8529295091946425</v>
      </c>
      <c r="R16" s="144"/>
      <c r="S16" s="146">
        <v>9</v>
      </c>
      <c r="T16" s="225">
        <f t="shared" si="0"/>
        <v>5.2635485092998415</v>
      </c>
      <c r="U16" s="225">
        <f t="shared" si="0"/>
        <v>5.2582229593992578</v>
      </c>
      <c r="V16" s="225">
        <f t="shared" si="0"/>
        <v>5.2537990194013329</v>
      </c>
      <c r="W16" s="225">
        <f t="shared" si="0"/>
        <v>5.2502894610336179</v>
      </c>
      <c r="X16" s="225">
        <f t="shared" si="0"/>
        <v>5.2464384752984019</v>
      </c>
      <c r="Y16" s="225">
        <f t="shared" si="0"/>
        <v>5.2423235759253757</v>
      </c>
      <c r="Z16" s="225">
        <f t="shared" si="0"/>
        <v>5.2391455815280219</v>
      </c>
      <c r="AA16" s="225">
        <f t="shared" si="0"/>
        <v>5.2347153558514963</v>
      </c>
      <c r="AB16" s="225">
        <f t="shared" si="0"/>
        <v>5.2316896127636561</v>
      </c>
      <c r="AC16" s="225">
        <f t="shared" si="1"/>
        <v>5.2260302218231667</v>
      </c>
      <c r="AD16" s="225">
        <f t="shared" si="1"/>
        <v>5.2196740797889474</v>
      </c>
      <c r="AE16" s="225">
        <f t="shared" si="1"/>
        <v>5.2151898876029144</v>
      </c>
      <c r="AF16" s="225">
        <f t="shared" si="1"/>
        <v>5.2115343179698392</v>
      </c>
      <c r="AG16" s="225">
        <f t="shared" si="1"/>
        <v>5.2082156342978152</v>
      </c>
      <c r="AH16" s="225">
        <f t="shared" si="1"/>
        <v>5.2040232779407587</v>
      </c>
      <c r="AI16" s="225">
        <f t="shared" si="1"/>
        <v>5.1997888799283833</v>
      </c>
      <c r="AJ16" s="225">
        <f t="shared" si="1"/>
        <v>5.195744342696007</v>
      </c>
      <c r="AK16" s="225">
        <f t="shared" si="1"/>
        <v>5.1918946678766673</v>
      </c>
      <c r="AL16" s="225">
        <f t="shared" si="1"/>
        <v>5.1881489191299286</v>
      </c>
      <c r="AM16" s="225">
        <f t="shared" si="2"/>
        <v>5.1846093500560499</v>
      </c>
      <c r="AN16" s="225">
        <f t="shared" si="2"/>
        <v>5.1811658153527187</v>
      </c>
      <c r="AO16" s="225">
        <f t="shared" si="2"/>
        <v>5.1779337001260641</v>
      </c>
      <c r="AP16" s="225">
        <f t="shared" si="2"/>
        <v>5.1748640863404161</v>
      </c>
      <c r="AQ16" s="225">
        <f t="shared" si="2"/>
        <v>5.1719716650833405</v>
      </c>
      <c r="AR16" s="225">
        <f t="shared" si="2"/>
        <v>5.1691825099894757</v>
      </c>
      <c r="AS16" s="225">
        <f t="shared" si="2"/>
        <v>5.1665882331056663</v>
      </c>
      <c r="AT16" s="225">
        <f t="shared" si="2"/>
        <v>5.1640226542288552</v>
      </c>
      <c r="AU16" s="225">
        <f t="shared" si="2"/>
        <v>5.16198836062906</v>
      </c>
      <c r="AV16" s="225">
        <f t="shared" si="2"/>
        <v>5.1603011904612428</v>
      </c>
      <c r="AW16" s="225">
        <f t="shared" si="2"/>
        <v>5.158645161114868</v>
      </c>
    </row>
    <row r="17" spans="2:49">
      <c r="B17" s="142">
        <f t="shared" si="3"/>
        <v>2022</v>
      </c>
      <c r="C17" s="19">
        <f t="shared" si="4"/>
        <v>10</v>
      </c>
      <c r="D17" s="143">
        <v>44835</v>
      </c>
      <c r="E17" s="19" t="str">
        <f t="shared" si="5"/>
        <v>10-2022</v>
      </c>
      <c r="F17" s="214">
        <v>5.4037542560324061</v>
      </c>
      <c r="G17" s="214">
        <v>0.8880808876599291</v>
      </c>
      <c r="H17" s="214">
        <v>6.2918351436923352</v>
      </c>
      <c r="I17" s="214">
        <v>5.7147491508052966</v>
      </c>
      <c r="J17" s="214">
        <v>1.4664363155196718</v>
      </c>
      <c r="K17" s="214">
        <v>7.1811854663249681</v>
      </c>
      <c r="L17" s="214">
        <v>5.8649001566336709</v>
      </c>
      <c r="M17" s="214">
        <v>0.69253054374736689</v>
      </c>
      <c r="N17" s="214">
        <v>6.5574307003810377</v>
      </c>
      <c r="O17" s="19"/>
      <c r="P17" s="226">
        <f t="shared" si="6"/>
        <v>5.6611345211571242</v>
      </c>
      <c r="Q17" s="226">
        <f t="shared" si="7"/>
        <v>6.6768171034661137</v>
      </c>
      <c r="R17" s="144"/>
      <c r="S17" s="146">
        <v>10</v>
      </c>
      <c r="T17" s="225">
        <f t="shared" si="0"/>
        <v>5.23304062057223</v>
      </c>
      <c r="U17" s="225">
        <f t="shared" si="0"/>
        <v>5.2276844676176069</v>
      </c>
      <c r="V17" s="225">
        <f t="shared" si="0"/>
        <v>5.2234057991984235</v>
      </c>
      <c r="W17" s="225">
        <f t="shared" si="0"/>
        <v>5.219977348022204</v>
      </c>
      <c r="X17" s="225">
        <f t="shared" si="0"/>
        <v>5.2160903311196769</v>
      </c>
      <c r="Y17" s="225">
        <f t="shared" si="0"/>
        <v>5.2119891709916928</v>
      </c>
      <c r="Z17" s="225">
        <f t="shared" si="0"/>
        <v>5.2089361299828365</v>
      </c>
      <c r="AA17" s="225">
        <f t="shared" si="0"/>
        <v>5.2043573177769105</v>
      </c>
      <c r="AB17" s="225">
        <f t="shared" si="0"/>
        <v>5.2015620228173276</v>
      </c>
      <c r="AC17" s="225">
        <f t="shared" si="1"/>
        <v>5.1955730094528656</v>
      </c>
      <c r="AD17" s="225">
        <f t="shared" si="1"/>
        <v>5.189296923104159</v>
      </c>
      <c r="AE17" s="225">
        <f t="shared" si="1"/>
        <v>5.1850306250106994</v>
      </c>
      <c r="AF17" s="225">
        <f t="shared" si="1"/>
        <v>5.18142343101281</v>
      </c>
      <c r="AG17" s="225">
        <f t="shared" si="1"/>
        <v>5.1781517968367501</v>
      </c>
      <c r="AH17" s="225">
        <f t="shared" si="1"/>
        <v>5.1738775508019339</v>
      </c>
      <c r="AI17" s="225">
        <f t="shared" si="1"/>
        <v>5.1696980242431732</v>
      </c>
      <c r="AJ17" s="225">
        <f t="shared" si="1"/>
        <v>5.1656873849376517</v>
      </c>
      <c r="AK17" s="225">
        <f t="shared" si="1"/>
        <v>5.1618776749220645</v>
      </c>
      <c r="AL17" s="225">
        <f t="shared" si="1"/>
        <v>5.1581588563003198</v>
      </c>
      <c r="AM17" s="225">
        <f t="shared" si="2"/>
        <v>5.1546604810310059</v>
      </c>
      <c r="AN17" s="225">
        <f t="shared" si="2"/>
        <v>5.1512402746333477</v>
      </c>
      <c r="AO17" s="225">
        <f t="shared" si="2"/>
        <v>5.1480487974470721</v>
      </c>
      <c r="AP17" s="225">
        <f t="shared" si="2"/>
        <v>5.1450073147149338</v>
      </c>
      <c r="AQ17" s="225">
        <f t="shared" si="2"/>
        <v>5.1421474929171689</v>
      </c>
      <c r="AR17" s="225">
        <f t="shared" si="2"/>
        <v>5.1393803520836343</v>
      </c>
      <c r="AS17" s="225">
        <f t="shared" si="2"/>
        <v>5.1368204269294511</v>
      </c>
      <c r="AT17" s="225">
        <f t="shared" si="2"/>
        <v>5.1342661926513324</v>
      </c>
      <c r="AU17" s="225">
        <f t="shared" si="2"/>
        <v>5.1323033420727482</v>
      </c>
      <c r="AV17" s="225">
        <f t="shared" si="2"/>
        <v>5.1306442377340318</v>
      </c>
      <c r="AW17" s="225">
        <f t="shared" si="2"/>
        <v>5.1289949848473668</v>
      </c>
    </row>
    <row r="18" spans="2:49">
      <c r="B18" s="142">
        <f t="shared" si="3"/>
        <v>2022</v>
      </c>
      <c r="C18" s="19">
        <f t="shared" si="4"/>
        <v>11</v>
      </c>
      <c r="D18" s="143">
        <v>44866</v>
      </c>
      <c r="E18" s="19" t="str">
        <f t="shared" si="5"/>
        <v>11-2022</v>
      </c>
      <c r="F18" s="214">
        <v>5.5294241038236178</v>
      </c>
      <c r="G18" s="214">
        <v>0.8880808876599291</v>
      </c>
      <c r="H18" s="214">
        <v>6.4175049914835469</v>
      </c>
      <c r="I18" s="214">
        <v>5.8344022247992893</v>
      </c>
      <c r="J18" s="214">
        <v>1.4664363155196718</v>
      </c>
      <c r="K18" s="214">
        <v>7.3008385403189608</v>
      </c>
      <c r="L18" s="214">
        <v>6.0104237593893215</v>
      </c>
      <c r="M18" s="214">
        <v>0.69253054374736689</v>
      </c>
      <c r="N18" s="214">
        <v>6.7029543031366883</v>
      </c>
      <c r="O18" s="19"/>
      <c r="P18" s="226">
        <f t="shared" si="6"/>
        <v>5.7914166960040765</v>
      </c>
      <c r="Q18" s="226">
        <f t="shared" si="7"/>
        <v>6.807099278313065</v>
      </c>
      <c r="R18" s="144"/>
      <c r="S18" s="146">
        <v>11</v>
      </c>
      <c r="T18" s="225">
        <f t="shared" si="0"/>
        <v>5.4915078982220082</v>
      </c>
      <c r="U18" s="225">
        <f t="shared" si="0"/>
        <v>5.4858226811348629</v>
      </c>
      <c r="V18" s="225">
        <f t="shared" si="0"/>
        <v>5.4814582410253143</v>
      </c>
      <c r="W18" s="225">
        <f t="shared" si="0"/>
        <v>5.4779242302813058</v>
      </c>
      <c r="X18" s="225">
        <f t="shared" si="0"/>
        <v>5.4737839850405097</v>
      </c>
      <c r="Y18" s="225">
        <f t="shared" si="0"/>
        <v>5.4694696508188398</v>
      </c>
      <c r="Z18" s="225">
        <f t="shared" si="0"/>
        <v>5.4663776280498348</v>
      </c>
      <c r="AA18" s="225">
        <f t="shared" si="0"/>
        <v>5.4613897626041279</v>
      </c>
      <c r="AB18" s="225">
        <f t="shared" si="0"/>
        <v>5.4586798645183761</v>
      </c>
      <c r="AC18" s="225">
        <f t="shared" si="1"/>
        <v>5.452014662519157</v>
      </c>
      <c r="AD18" s="225">
        <f t="shared" si="1"/>
        <v>5.4454739477456604</v>
      </c>
      <c r="AE18" s="225">
        <f t="shared" si="1"/>
        <v>5.4411983433812248</v>
      </c>
      <c r="AF18" s="225">
        <f t="shared" si="1"/>
        <v>5.4374415198238317</v>
      </c>
      <c r="AG18" s="225">
        <f t="shared" si="1"/>
        <v>5.4340374873792685</v>
      </c>
      <c r="AH18" s="225">
        <f t="shared" si="1"/>
        <v>5.4294406797630677</v>
      </c>
      <c r="AI18" s="225">
        <f t="shared" si="1"/>
        <v>5.4250865518506766</v>
      </c>
      <c r="AJ18" s="225">
        <f t="shared" si="1"/>
        <v>5.4208887949794766</v>
      </c>
      <c r="AK18" s="225">
        <f t="shared" si="1"/>
        <v>5.416909444470364</v>
      </c>
      <c r="AL18" s="225">
        <f t="shared" si="1"/>
        <v>5.4130124262718669</v>
      </c>
      <c r="AM18" s="225">
        <f t="shared" si="2"/>
        <v>5.4093629641254601</v>
      </c>
      <c r="AN18" s="225">
        <f t="shared" si="2"/>
        <v>5.4057773651893983</v>
      </c>
      <c r="AO18" s="225">
        <f t="shared" si="2"/>
        <v>5.4024512462770389</v>
      </c>
      <c r="AP18" s="225">
        <f t="shared" si="2"/>
        <v>5.3992703920877991</v>
      </c>
      <c r="AQ18" s="225">
        <f t="shared" si="2"/>
        <v>5.3962859390477966</v>
      </c>
      <c r="AR18" s="225">
        <f t="shared" si="2"/>
        <v>5.3933882631153756</v>
      </c>
      <c r="AS18" s="225">
        <f t="shared" si="2"/>
        <v>5.3907221718246516</v>
      </c>
      <c r="AT18" s="225">
        <f t="shared" si="2"/>
        <v>5.3880380799330316</v>
      </c>
      <c r="AU18" s="225">
        <f t="shared" si="2"/>
        <v>5.3860408892680098</v>
      </c>
      <c r="AV18" s="225">
        <f t="shared" si="2"/>
        <v>5.3843190324095227</v>
      </c>
      <c r="AW18" s="225">
        <f t="shared" si="2"/>
        <v>5.3825853587598216</v>
      </c>
    </row>
    <row r="19" spans="2:49">
      <c r="B19" s="142">
        <f t="shared" si="3"/>
        <v>2022</v>
      </c>
      <c r="C19" s="19">
        <f t="shared" si="4"/>
        <v>12</v>
      </c>
      <c r="D19" s="143">
        <v>44896</v>
      </c>
      <c r="E19" s="19" t="str">
        <f t="shared" si="5"/>
        <v>12-2022</v>
      </c>
      <c r="F19" s="214">
        <v>5.4313297788500687</v>
      </c>
      <c r="G19" s="214">
        <v>0.8880808876599291</v>
      </c>
      <c r="H19" s="214">
        <v>6.3194106665099978</v>
      </c>
      <c r="I19" s="214">
        <v>5.7171988745800038</v>
      </c>
      <c r="J19" s="214">
        <v>1.4664363155196718</v>
      </c>
      <c r="K19" s="214">
        <v>7.1836351900996753</v>
      </c>
      <c r="L19" s="214">
        <v>5.91323522187135</v>
      </c>
      <c r="M19" s="214">
        <v>0.69253054374736689</v>
      </c>
      <c r="N19" s="214">
        <v>6.6057657656187168</v>
      </c>
      <c r="O19" s="19"/>
      <c r="P19" s="226">
        <f t="shared" si="6"/>
        <v>5.6872546251004747</v>
      </c>
      <c r="Q19" s="226">
        <f t="shared" si="7"/>
        <v>6.7029372074094633</v>
      </c>
      <c r="R19" s="144"/>
      <c r="S19" s="146">
        <v>12</v>
      </c>
      <c r="T19" s="225">
        <f t="shared" si="0"/>
        <v>5.5354917894024043</v>
      </c>
      <c r="U19" s="225">
        <f t="shared" si="0"/>
        <v>5.5296959941912123</v>
      </c>
      <c r="V19" s="225">
        <f t="shared" si="0"/>
        <v>5.5254231799430356</v>
      </c>
      <c r="W19" s="225">
        <f t="shared" si="0"/>
        <v>5.5219251607759796</v>
      </c>
      <c r="X19" s="225">
        <f t="shared" si="0"/>
        <v>5.5176900115681748</v>
      </c>
      <c r="Y19" s="225">
        <f t="shared" si="0"/>
        <v>5.5133304233471963</v>
      </c>
      <c r="Z19" s="225">
        <f t="shared" si="0"/>
        <v>5.5103263600576291</v>
      </c>
      <c r="AA19" s="225">
        <f t="shared" si="0"/>
        <v>5.505114152596267</v>
      </c>
      <c r="AB19" s="225">
        <f t="shared" si="0"/>
        <v>5.5026078340371134</v>
      </c>
      <c r="AC19" s="225">
        <f t="shared" si="1"/>
        <v>5.4955057601110369</v>
      </c>
      <c r="AD19" s="225">
        <f t="shared" si="1"/>
        <v>5.4889583844356338</v>
      </c>
      <c r="AE19" s="225">
        <f t="shared" si="1"/>
        <v>5.4848515909978266</v>
      </c>
      <c r="AF19" s="225">
        <f t="shared" si="1"/>
        <v>5.4810934451456035</v>
      </c>
      <c r="AG19" s="225">
        <f t="shared" si="1"/>
        <v>5.4776915789480283</v>
      </c>
      <c r="AH19" s="225">
        <f t="shared" si="1"/>
        <v>5.4729455933246554</v>
      </c>
      <c r="AI19" s="225">
        <f t="shared" si="1"/>
        <v>5.4685886824714407</v>
      </c>
      <c r="AJ19" s="225">
        <f t="shared" si="1"/>
        <v>5.4643683670738845</v>
      </c>
      <c r="AK19" s="225">
        <f t="shared" si="1"/>
        <v>5.4603758218861786</v>
      </c>
      <c r="AL19" s="225">
        <f t="shared" si="1"/>
        <v>5.4564531136088528</v>
      </c>
      <c r="AM19" s="225">
        <f t="shared" si="2"/>
        <v>5.4527963012819525</v>
      </c>
      <c r="AN19" s="225">
        <f t="shared" si="2"/>
        <v>5.4491855488696066</v>
      </c>
      <c r="AO19" s="225">
        <f t="shared" si="2"/>
        <v>5.4458559670993267</v>
      </c>
      <c r="AP19" s="225">
        <f t="shared" si="2"/>
        <v>5.4426605763022673</v>
      </c>
      <c r="AQ19" s="225">
        <f t="shared" si="2"/>
        <v>5.4396689745166862</v>
      </c>
      <c r="AR19" s="225">
        <f t="shared" si="2"/>
        <v>5.436754277825977</v>
      </c>
      <c r="AS19" s="225">
        <f t="shared" si="2"/>
        <v>5.4340872702879741</v>
      </c>
      <c r="AT19" s="225">
        <f t="shared" si="2"/>
        <v>5.431377949757568</v>
      </c>
      <c r="AU19" s="225">
        <f t="shared" si="2"/>
        <v>5.4294278815914154</v>
      </c>
      <c r="AV19" s="225">
        <f t="shared" si="2"/>
        <v>5.4277115832670484</v>
      </c>
      <c r="AW19" s="225">
        <f t="shared" si="2"/>
        <v>5.4259610378617884</v>
      </c>
    </row>
    <row r="20" spans="2:49">
      <c r="B20" s="142">
        <f t="shared" si="3"/>
        <v>2023</v>
      </c>
      <c r="C20" s="19">
        <f t="shared" si="4"/>
        <v>1</v>
      </c>
      <c r="D20" s="143">
        <v>44927</v>
      </c>
      <c r="E20" s="19" t="str">
        <f t="shared" si="5"/>
        <v>1-2023</v>
      </c>
      <c r="F20" s="214">
        <v>5.4187817724984662</v>
      </c>
      <c r="G20" s="214">
        <v>0.8880808876599291</v>
      </c>
      <c r="H20" s="214">
        <v>6.3068626601583953</v>
      </c>
      <c r="I20" s="214">
        <v>5.7041353213930694</v>
      </c>
      <c r="J20" s="214">
        <v>1.4664363155196718</v>
      </c>
      <c r="K20" s="214">
        <v>7.170571636912741</v>
      </c>
      <c r="L20" s="214">
        <v>5.900166517449045</v>
      </c>
      <c r="M20" s="214">
        <v>0.69253054374736689</v>
      </c>
      <c r="N20" s="214">
        <v>6.5926970611964117</v>
      </c>
      <c r="O20" s="19"/>
      <c r="P20" s="226">
        <f t="shared" si="6"/>
        <v>5.6743612037801938</v>
      </c>
      <c r="Q20" s="226">
        <f t="shared" si="7"/>
        <v>6.6900437860891833</v>
      </c>
      <c r="R20" s="144"/>
      <c r="S20" s="147" t="s">
        <v>212</v>
      </c>
      <c r="T20" s="148">
        <f t="shared" ref="T20:AW20" si="8">AVERAGE(T8:T19)</f>
        <v>5.2516116091594212</v>
      </c>
      <c r="U20" s="148">
        <f t="shared" si="8"/>
        <v>5.2464499562205651</v>
      </c>
      <c r="V20" s="148">
        <f t="shared" si="8"/>
        <v>5.2417405863850144</v>
      </c>
      <c r="W20" s="148">
        <f t="shared" si="8"/>
        <v>5.2380889083012709</v>
      </c>
      <c r="X20" s="148">
        <f t="shared" si="8"/>
        <v>5.2343907732195012</v>
      </c>
      <c r="Y20" s="148">
        <f t="shared" si="8"/>
        <v>5.230310177939411</v>
      </c>
      <c r="Z20" s="148">
        <f t="shared" si="8"/>
        <v>5.2268762741069175</v>
      </c>
      <c r="AA20" s="148">
        <f t="shared" si="8"/>
        <v>5.2228864940029771</v>
      </c>
      <c r="AB20" s="148">
        <f t="shared" si="8"/>
        <v>5.2193417656405297</v>
      </c>
      <c r="AC20" s="148">
        <f t="shared" si="8"/>
        <v>5.2145903262082012</v>
      </c>
      <c r="AD20" s="148">
        <f t="shared" si="8"/>
        <v>5.2081418663130501</v>
      </c>
      <c r="AE20" s="148">
        <f t="shared" si="8"/>
        <v>5.2031938802619884</v>
      </c>
      <c r="AF20" s="148">
        <f t="shared" si="8"/>
        <v>5.1994794526594807</v>
      </c>
      <c r="AG20" s="148">
        <f t="shared" si="8"/>
        <v>5.1960995997449295</v>
      </c>
      <c r="AH20" s="148">
        <f t="shared" si="8"/>
        <v>5.1921790163985628</v>
      </c>
      <c r="AI20" s="148">
        <f t="shared" si="8"/>
        <v>5.1878793157354011</v>
      </c>
      <c r="AJ20" s="148">
        <f t="shared" si="8"/>
        <v>5.1838181278407731</v>
      </c>
      <c r="AK20" s="148">
        <f t="shared" si="8"/>
        <v>5.1799335869781835</v>
      </c>
      <c r="AL20" s="148">
        <f t="shared" si="8"/>
        <v>5.1761834418522605</v>
      </c>
      <c r="AM20" s="148">
        <f t="shared" si="8"/>
        <v>5.1726008288693466</v>
      </c>
      <c r="AN20" s="148">
        <f t="shared" si="8"/>
        <v>5.1691567819554569</v>
      </c>
      <c r="AO20" s="148">
        <f t="shared" si="8"/>
        <v>5.165877896945501</v>
      </c>
      <c r="AP20" s="148">
        <f t="shared" si="8"/>
        <v>5.1627897083921948</v>
      </c>
      <c r="AQ20" s="148">
        <f t="shared" si="8"/>
        <v>5.1598647379120193</v>
      </c>
      <c r="AR20" s="148">
        <f t="shared" si="8"/>
        <v>5.1570674644737382</v>
      </c>
      <c r="AS20" s="148">
        <f t="shared" si="8"/>
        <v>5.1544313664844932</v>
      </c>
      <c r="AT20" s="148">
        <f t="shared" si="8"/>
        <v>5.1518803136485536</v>
      </c>
      <c r="AU20" s="148">
        <f t="shared" si="8"/>
        <v>5.1497033046260148</v>
      </c>
      <c r="AV20" s="148">
        <f t="shared" si="8"/>
        <v>5.1479747957450153</v>
      </c>
      <c r="AW20" s="148">
        <f t="shared" si="8"/>
        <v>5.1463294917927014</v>
      </c>
    </row>
    <row r="21" spans="2:49">
      <c r="B21" s="142">
        <f t="shared" si="3"/>
        <v>2023</v>
      </c>
      <c r="C21" s="19">
        <f t="shared" si="4"/>
        <v>2</v>
      </c>
      <c r="D21" s="143">
        <v>44958</v>
      </c>
      <c r="E21" s="19" t="str">
        <f t="shared" si="5"/>
        <v>2-2023</v>
      </c>
      <c r="F21" s="214">
        <v>5.2873904995635987</v>
      </c>
      <c r="G21" s="214">
        <v>0.8880808876599291</v>
      </c>
      <c r="H21" s="214">
        <v>6.1754713872235278</v>
      </c>
      <c r="I21" s="214">
        <v>5.5659670401308334</v>
      </c>
      <c r="J21" s="214">
        <v>1.4664363155196718</v>
      </c>
      <c r="K21" s="214">
        <v>7.032403355650505</v>
      </c>
      <c r="L21" s="214">
        <v>5.7576840039132691</v>
      </c>
      <c r="M21" s="214">
        <v>0.69253054374736689</v>
      </c>
      <c r="N21" s="214">
        <v>6.4502145476606358</v>
      </c>
      <c r="O21" s="19"/>
      <c r="P21" s="226">
        <f t="shared" si="6"/>
        <v>5.5370138478692335</v>
      </c>
      <c r="Q21" s="226">
        <f t="shared" si="7"/>
        <v>6.5526964301782229</v>
      </c>
      <c r="R21" s="144"/>
      <c r="S21" s="140"/>
      <c r="T21" s="140"/>
      <c r="U21" s="140"/>
      <c r="V21" s="140"/>
      <c r="W21" s="140"/>
      <c r="X21" s="140"/>
      <c r="Y21" s="140"/>
      <c r="Z21" s="140"/>
      <c r="AA21" s="140"/>
      <c r="AB21" s="140"/>
      <c r="AC21" s="140"/>
      <c r="AD21" s="140"/>
      <c r="AE21" s="140"/>
      <c r="AF21" s="140"/>
      <c r="AG21" s="140"/>
      <c r="AH21" s="140"/>
      <c r="AI21" s="140"/>
      <c r="AJ21" s="140"/>
      <c r="AK21" s="140"/>
      <c r="AL21" s="140"/>
      <c r="AM21" s="19"/>
      <c r="AN21" s="19"/>
      <c r="AO21" s="19"/>
      <c r="AP21" s="19"/>
      <c r="AQ21" s="19"/>
      <c r="AR21" s="19"/>
      <c r="AS21" s="19"/>
      <c r="AT21" s="19"/>
      <c r="AU21" s="19"/>
      <c r="AV21" s="19"/>
      <c r="AW21" s="19"/>
    </row>
    <row r="22" spans="2:49">
      <c r="B22" s="142">
        <f t="shared" si="3"/>
        <v>2023</v>
      </c>
      <c r="C22" s="19">
        <f t="shared" si="4"/>
        <v>3</v>
      </c>
      <c r="D22" s="143">
        <v>44986</v>
      </c>
      <c r="E22" s="19" t="str">
        <f t="shared" si="5"/>
        <v>3-2023</v>
      </c>
      <c r="F22" s="214">
        <v>4.8422849164069195</v>
      </c>
      <c r="G22" s="214">
        <v>0.8880808876599291</v>
      </c>
      <c r="H22" s="214">
        <v>5.7303658040668486</v>
      </c>
      <c r="I22" s="214">
        <v>5.0975409364946254</v>
      </c>
      <c r="J22" s="214">
        <v>1.4664363155196718</v>
      </c>
      <c r="K22" s="214">
        <v>6.5639772520142969</v>
      </c>
      <c r="L22" s="214">
        <v>5.2735226992068975</v>
      </c>
      <c r="M22" s="214">
        <v>0.69253054374736689</v>
      </c>
      <c r="N22" s="214">
        <v>5.9660532429542643</v>
      </c>
      <c r="O22" s="19"/>
      <c r="P22" s="226">
        <f t="shared" si="6"/>
        <v>5.0711161840361472</v>
      </c>
      <c r="Q22" s="226">
        <f t="shared" si="7"/>
        <v>6.0867987663451366</v>
      </c>
      <c r="R22" s="144"/>
      <c r="S22" s="238" t="s">
        <v>213</v>
      </c>
      <c r="T22" s="234">
        <f>'User Dashboard'!E$58</f>
        <v>2026</v>
      </c>
      <c r="U22" s="234">
        <f>'User Dashboard'!F$58</f>
        <v>2027</v>
      </c>
      <c r="V22" s="234">
        <f>'User Dashboard'!G$58</f>
        <v>2028</v>
      </c>
      <c r="W22" s="234">
        <f>'User Dashboard'!H$58</f>
        <v>2029</v>
      </c>
      <c r="X22" s="234">
        <f>'User Dashboard'!I$58</f>
        <v>2030</v>
      </c>
      <c r="Y22" s="234">
        <f>'User Dashboard'!J$58</f>
        <v>2031</v>
      </c>
      <c r="Z22" s="234">
        <f>'User Dashboard'!K$58</f>
        <v>2032</v>
      </c>
      <c r="AA22" s="234">
        <f>'User Dashboard'!L$58</f>
        <v>2033</v>
      </c>
      <c r="AB22" s="234">
        <f>'User Dashboard'!M$58</f>
        <v>2034</v>
      </c>
      <c r="AC22" s="234">
        <f>'User Dashboard'!N$58</f>
        <v>2035</v>
      </c>
      <c r="AD22" s="234">
        <f>'User Dashboard'!O$58</f>
        <v>2036</v>
      </c>
      <c r="AE22" s="234">
        <f>'User Dashboard'!P$58</f>
        <v>2037</v>
      </c>
      <c r="AF22" s="234">
        <f>'User Dashboard'!Q$58</f>
        <v>2038</v>
      </c>
      <c r="AG22" s="234">
        <f>'User Dashboard'!R$58</f>
        <v>2039</v>
      </c>
      <c r="AH22" s="234">
        <f>'User Dashboard'!S$58</f>
        <v>2040</v>
      </c>
      <c r="AI22" s="234">
        <f>'User Dashboard'!T$58</f>
        <v>2041</v>
      </c>
      <c r="AJ22" s="234">
        <f>'User Dashboard'!U$58</f>
        <v>2042</v>
      </c>
      <c r="AK22" s="234">
        <f>'User Dashboard'!V$58</f>
        <v>2043</v>
      </c>
      <c r="AL22" s="234">
        <f>'User Dashboard'!W$58</f>
        <v>2044</v>
      </c>
      <c r="AM22" s="234">
        <f>'User Dashboard'!X$58</f>
        <v>2045</v>
      </c>
      <c r="AN22" s="234">
        <f>'User Dashboard'!Y$58</f>
        <v>2046</v>
      </c>
      <c r="AO22" s="234">
        <f>'User Dashboard'!Z$58</f>
        <v>2047</v>
      </c>
      <c r="AP22" s="234">
        <f>'User Dashboard'!AA$58</f>
        <v>2048</v>
      </c>
      <c r="AQ22" s="234">
        <f>'User Dashboard'!AB$58</f>
        <v>2049</v>
      </c>
      <c r="AR22" s="234">
        <f>'User Dashboard'!AC$58</f>
        <v>2050</v>
      </c>
      <c r="AS22" s="234">
        <f>'User Dashboard'!AD$58</f>
        <v>2051</v>
      </c>
      <c r="AT22" s="234">
        <f>'User Dashboard'!AE$58</f>
        <v>2052</v>
      </c>
      <c r="AU22" s="234">
        <f>'User Dashboard'!AF$58</f>
        <v>2053</v>
      </c>
      <c r="AV22" s="234">
        <f>'User Dashboard'!AG$58</f>
        <v>2054</v>
      </c>
      <c r="AW22" s="234">
        <f>'User Dashboard'!AH$58</f>
        <v>2055</v>
      </c>
    </row>
    <row r="23" spans="2:49">
      <c r="B23" s="142">
        <f t="shared" si="3"/>
        <v>2023</v>
      </c>
      <c r="C23" s="19">
        <f t="shared" si="4"/>
        <v>4</v>
      </c>
      <c r="D23" s="143">
        <v>45017</v>
      </c>
      <c r="E23" s="19" t="str">
        <f t="shared" si="5"/>
        <v>4-2023</v>
      </c>
      <c r="F23" s="214">
        <v>4.7485332191697536</v>
      </c>
      <c r="G23" s="214">
        <v>0.8880808876599291</v>
      </c>
      <c r="H23" s="214">
        <v>5.6366141068296827</v>
      </c>
      <c r="I23" s="214">
        <v>4.9989760489765462</v>
      </c>
      <c r="J23" s="214">
        <v>1.4664363155196718</v>
      </c>
      <c r="K23" s="214">
        <v>6.4654123644962178</v>
      </c>
      <c r="L23" s="214">
        <v>5.1719487333036032</v>
      </c>
      <c r="M23" s="214">
        <v>0.69253054374736689</v>
      </c>
      <c r="N23" s="214">
        <v>5.8644792770509699</v>
      </c>
      <c r="O23" s="19"/>
      <c r="P23" s="226">
        <f t="shared" si="6"/>
        <v>4.9731526671499671</v>
      </c>
      <c r="Q23" s="226">
        <f t="shared" si="7"/>
        <v>5.9888352494589556</v>
      </c>
      <c r="R23" s="144"/>
      <c r="S23" s="145">
        <v>1</v>
      </c>
      <c r="T23" s="224">
        <f t="shared" ref="T23:AB34" si="9">INDEX($Q$8:$Q$415,MATCH(_xlfn.CONCAT($S23,"-",T$22),$E$8:$E$415,0))</f>
        <v>6.6831530956278291</v>
      </c>
      <c r="U23" s="224">
        <f t="shared" si="9"/>
        <v>6.7237676880146404</v>
      </c>
      <c r="V23" s="224">
        <f t="shared" si="9"/>
        <v>6.7656264390943646</v>
      </c>
      <c r="W23" s="224">
        <f t="shared" si="9"/>
        <v>6.8108470964280521</v>
      </c>
      <c r="X23" s="224">
        <f t="shared" si="9"/>
        <v>6.8586937930704694</v>
      </c>
      <c r="Y23" s="224">
        <f t="shared" si="9"/>
        <v>6.9079106085798143</v>
      </c>
      <c r="Z23" s="224">
        <f t="shared" si="9"/>
        <v>6.9592648256740324</v>
      </c>
      <c r="AA23" s="224">
        <f t="shared" si="9"/>
        <v>7.013901752004986</v>
      </c>
      <c r="AB23" s="224">
        <f t="shared" si="9"/>
        <v>7.0690528697478108</v>
      </c>
      <c r="AC23" s="224">
        <f t="shared" ref="AC23:AL34" si="10">INDEX($Q$8:$Q$415,MATCH(_xlfn.CONCAT($S23,"-",AC$22),$E$8:$E$415,0))</f>
        <v>7.1287071492775551</v>
      </c>
      <c r="AD23" s="224">
        <f t="shared" si="10"/>
        <v>7.1866962156131562</v>
      </c>
      <c r="AE23" s="224">
        <f t="shared" si="10"/>
        <v>7.2479990332985444</v>
      </c>
      <c r="AF23" s="224">
        <f t="shared" si="10"/>
        <v>7.3142742299856645</v>
      </c>
      <c r="AG23" s="224">
        <f t="shared" si="10"/>
        <v>7.3837128789884687</v>
      </c>
      <c r="AH23" s="224">
        <f t="shared" si="10"/>
        <v>7.4562928283171344</v>
      </c>
      <c r="AI23" s="224">
        <f t="shared" si="10"/>
        <v>7.5307167380957596</v>
      </c>
      <c r="AJ23" s="224">
        <f t="shared" si="10"/>
        <v>7.6086742373015612</v>
      </c>
      <c r="AK23" s="224">
        <f t="shared" si="10"/>
        <v>7.6899837124274883</v>
      </c>
      <c r="AL23" s="224">
        <f t="shared" si="10"/>
        <v>7.7749249176513224</v>
      </c>
      <c r="AM23" s="224">
        <f t="shared" ref="AM23:AW34" si="11">INDEX($Q$8:$Q$415,MATCH(_xlfn.CONCAT($S23,"-",AM$22),$E$8:$E$415,0))</f>
        <v>7.8635059571693802</v>
      </c>
      <c r="AN23" s="224">
        <f t="shared" si="11"/>
        <v>7.9560302559972955</v>
      </c>
      <c r="AO23" s="224">
        <f t="shared" si="11"/>
        <v>8.0524635546894441</v>
      </c>
      <c r="AP23" s="224">
        <f t="shared" si="11"/>
        <v>8.153162727609919</v>
      </c>
      <c r="AQ23" s="224">
        <f t="shared" si="11"/>
        <v>8.2581585519215839</v>
      </c>
      <c r="AR23" s="224">
        <f t="shared" si="11"/>
        <v>8.3676703617786004</v>
      </c>
      <c r="AS23" s="224">
        <f t="shared" si="11"/>
        <v>8.4817688107551046</v>
      </c>
      <c r="AT23" s="224">
        <f t="shared" si="11"/>
        <v>8.6007659423605105</v>
      </c>
      <c r="AU23" s="224">
        <f t="shared" si="11"/>
        <v>8.7246495224098819</v>
      </c>
      <c r="AV23" s="224">
        <f t="shared" si="11"/>
        <v>8.8543048877536012</v>
      </c>
      <c r="AW23" s="224">
        <f t="shared" si="11"/>
        <v>8.9894300146522941</v>
      </c>
    </row>
    <row r="24" spans="2:49">
      <c r="B24" s="142">
        <f t="shared" si="3"/>
        <v>2023</v>
      </c>
      <c r="C24" s="19">
        <f t="shared" si="4"/>
        <v>5</v>
      </c>
      <c r="D24" s="143">
        <v>45047</v>
      </c>
      <c r="E24" s="19" t="str">
        <f t="shared" si="5"/>
        <v>5-2023</v>
      </c>
      <c r="F24" s="214">
        <v>4.9020418811249717</v>
      </c>
      <c r="G24" s="214">
        <v>0.8880808876599291</v>
      </c>
      <c r="H24" s="214">
        <v>5.7901227687849008</v>
      </c>
      <c r="I24" s="214">
        <v>5.1607145723091232</v>
      </c>
      <c r="J24" s="214">
        <v>1.4664363155196718</v>
      </c>
      <c r="K24" s="214">
        <v>6.6271508878287948</v>
      </c>
      <c r="L24" s="214">
        <v>5.3396920353486639</v>
      </c>
      <c r="M24" s="214">
        <v>0.69253054374736689</v>
      </c>
      <c r="N24" s="214">
        <v>6.0322225790960307</v>
      </c>
      <c r="O24" s="19"/>
      <c r="P24" s="226">
        <f t="shared" si="6"/>
        <v>5.1341494962609193</v>
      </c>
      <c r="Q24" s="226">
        <f t="shared" si="7"/>
        <v>6.1498320785699079</v>
      </c>
      <c r="R24" s="144"/>
      <c r="S24" s="146">
        <v>2</v>
      </c>
      <c r="T24" s="224">
        <f t="shared" si="9"/>
        <v>6.5614906502495964</v>
      </c>
      <c r="U24" s="224">
        <f t="shared" si="9"/>
        <v>6.6021533353897226</v>
      </c>
      <c r="V24" s="224">
        <f t="shared" si="9"/>
        <v>6.6442603083906739</v>
      </c>
      <c r="W24" s="224">
        <f t="shared" si="9"/>
        <v>6.6896362290744449</v>
      </c>
      <c r="X24" s="224">
        <f t="shared" si="9"/>
        <v>6.7375007402776061</v>
      </c>
      <c r="Y24" s="224">
        <f t="shared" si="9"/>
        <v>6.7868003312869165</v>
      </c>
      <c r="Z24" s="224">
        <f t="shared" si="9"/>
        <v>6.8383579915498602</v>
      </c>
      <c r="AA24" s="224">
        <f t="shared" si="9"/>
        <v>6.8928846905929317</v>
      </c>
      <c r="AB24" s="224">
        <f t="shared" si="9"/>
        <v>6.9483655281488801</v>
      </c>
      <c r="AC24" s="224">
        <f t="shared" si="10"/>
        <v>7.0077084083994832</v>
      </c>
      <c r="AD24" s="224">
        <f t="shared" si="10"/>
        <v>7.0658971202568255</v>
      </c>
      <c r="AE24" s="224">
        <f t="shared" si="10"/>
        <v>7.127537736566107</v>
      </c>
      <c r="AF24" s="224">
        <f t="shared" si="10"/>
        <v>7.1939306016245075</v>
      </c>
      <c r="AG24" s="224">
        <f t="shared" si="10"/>
        <v>7.2634798965576719</v>
      </c>
      <c r="AH24" s="224">
        <f t="shared" si="10"/>
        <v>7.3360271826297589</v>
      </c>
      <c r="AI24" s="224">
        <f t="shared" si="10"/>
        <v>7.410585972251444</v>
      </c>
      <c r="AJ24" s="224">
        <f t="shared" si="10"/>
        <v>7.4886497147532083</v>
      </c>
      <c r="AK24" s="224">
        <f t="shared" si="10"/>
        <v>7.570069709654633</v>
      </c>
      <c r="AL24" s="224">
        <f t="shared" si="10"/>
        <v>7.655103863239912</v>
      </c>
      <c r="AM24" s="224">
        <f t="shared" si="11"/>
        <v>7.7437919473493508</v>
      </c>
      <c r="AN24" s="224">
        <f t="shared" si="11"/>
        <v>7.8363999516440588</v>
      </c>
      <c r="AO24" s="224">
        <f t="shared" si="11"/>
        <v>7.9329346846100846</v>
      </c>
      <c r="AP24" s="224">
        <f t="shared" si="11"/>
        <v>8.0337174245803986</v>
      </c>
      <c r="AQ24" s="224">
        <f t="shared" si="11"/>
        <v>8.1387994255139215</v>
      </c>
      <c r="AR24" s="224">
        <f t="shared" si="11"/>
        <v>8.2483828398900982</v>
      </c>
      <c r="AS24" s="224">
        <f t="shared" si="11"/>
        <v>8.3625648206554377</v>
      </c>
      <c r="AT24" s="224">
        <f t="shared" si="11"/>
        <v>8.4816169515952424</v>
      </c>
      <c r="AU24" s="224">
        <f t="shared" si="11"/>
        <v>8.6056203369513842</v>
      </c>
      <c r="AV24" s="224">
        <f t="shared" si="11"/>
        <v>8.7353370124708203</v>
      </c>
      <c r="AW24" s="224">
        <f t="shared" si="11"/>
        <v>8.8704969738242685</v>
      </c>
    </row>
    <row r="25" spans="2:49">
      <c r="B25" s="142">
        <f t="shared" si="3"/>
        <v>2023</v>
      </c>
      <c r="C25" s="19">
        <f t="shared" si="4"/>
        <v>6</v>
      </c>
      <c r="D25" s="143">
        <v>45078</v>
      </c>
      <c r="E25" s="19" t="str">
        <f t="shared" si="5"/>
        <v>6-2023</v>
      </c>
      <c r="F25" s="214">
        <v>5.0167112643099268</v>
      </c>
      <c r="G25" s="214">
        <v>0.8880808876599291</v>
      </c>
      <c r="H25" s="214">
        <v>5.9047921519698559</v>
      </c>
      <c r="I25" s="214">
        <v>5.2815723124120861</v>
      </c>
      <c r="J25" s="214">
        <v>1.4664363155196718</v>
      </c>
      <c r="K25" s="214">
        <v>6.7480086279317577</v>
      </c>
      <c r="L25" s="214">
        <v>5.4651611617486431</v>
      </c>
      <c r="M25" s="214">
        <v>0.69253054374736689</v>
      </c>
      <c r="N25" s="214">
        <v>6.1576917054960099</v>
      </c>
      <c r="O25" s="19"/>
      <c r="P25" s="226">
        <f t="shared" si="6"/>
        <v>5.2544815794902187</v>
      </c>
      <c r="Q25" s="226">
        <f t="shared" si="7"/>
        <v>6.2701641617992081</v>
      </c>
      <c r="R25" s="144"/>
      <c r="S25" s="146">
        <v>3</v>
      </c>
      <c r="T25" s="224">
        <f t="shared" si="9"/>
        <v>6.1169794646085158</v>
      </c>
      <c r="U25" s="224">
        <f t="shared" si="9"/>
        <v>6.157996997424239</v>
      </c>
      <c r="V25" s="224">
        <f t="shared" si="9"/>
        <v>6.2006622642777112</v>
      </c>
      <c r="W25" s="224">
        <f t="shared" si="9"/>
        <v>6.2464283817326072</v>
      </c>
      <c r="X25" s="224">
        <f t="shared" si="9"/>
        <v>6.2945280269261978</v>
      </c>
      <c r="Y25" s="224">
        <f t="shared" si="9"/>
        <v>6.3441595150803529</v>
      </c>
      <c r="Z25" s="224">
        <f t="shared" si="9"/>
        <v>6.3961500291175488</v>
      </c>
      <c r="AA25" s="224">
        <f t="shared" si="9"/>
        <v>6.450781830226215</v>
      </c>
      <c r="AB25" s="224">
        <f t="shared" si="9"/>
        <v>6.5068468918998974</v>
      </c>
      <c r="AC25" s="224">
        <f t="shared" si="10"/>
        <v>6.5661081912609527</v>
      </c>
      <c r="AD25" s="224">
        <f t="shared" si="10"/>
        <v>6.6249004013674364</v>
      </c>
      <c r="AE25" s="224">
        <f t="shared" si="10"/>
        <v>6.687215977403242</v>
      </c>
      <c r="AF25" s="224">
        <f t="shared" si="10"/>
        <v>6.753959531588289</v>
      </c>
      <c r="AG25" s="224">
        <f t="shared" si="10"/>
        <v>6.8238320325093333</v>
      </c>
      <c r="AH25" s="224">
        <f t="shared" si="10"/>
        <v>6.8965694293318052</v>
      </c>
      <c r="AI25" s="224">
        <f t="shared" si="10"/>
        <v>6.9715326396261146</v>
      </c>
      <c r="AJ25" s="224">
        <f t="shared" si="10"/>
        <v>7.0499540882766496</v>
      </c>
      <c r="AK25" s="224">
        <f t="shared" si="10"/>
        <v>7.1317264428981275</v>
      </c>
      <c r="AL25" s="224">
        <f t="shared" si="10"/>
        <v>7.2170849861999073</v>
      </c>
      <c r="AM25" s="224">
        <f t="shared" si="11"/>
        <v>7.3061039135665844</v>
      </c>
      <c r="AN25" s="224">
        <f t="shared" si="11"/>
        <v>7.399007929004644</v>
      </c>
      <c r="AO25" s="224">
        <f t="shared" si="11"/>
        <v>7.4958494336204753</v>
      </c>
      <c r="AP25" s="224">
        <f t="shared" si="11"/>
        <v>7.5969073673026415</v>
      </c>
      <c r="AQ25" s="224">
        <f t="shared" si="11"/>
        <v>7.7022580818793047</v>
      </c>
      <c r="AR25" s="224">
        <f t="shared" si="11"/>
        <v>7.8120860712954681</v>
      </c>
      <c r="AS25" s="224">
        <f t="shared" si="11"/>
        <v>7.9265169601954248</v>
      </c>
      <c r="AT25" s="224">
        <f t="shared" si="11"/>
        <v>8.0457803134393959</v>
      </c>
      <c r="AU25" s="224">
        <f t="shared" si="11"/>
        <v>8.1700475892407081</v>
      </c>
      <c r="AV25" s="224">
        <f t="shared" si="11"/>
        <v>8.2999349795170954</v>
      </c>
      <c r="AW25" s="224">
        <f t="shared" si="11"/>
        <v>8.4352304372862523</v>
      </c>
    </row>
    <row r="26" spans="2:49">
      <c r="B26" s="142">
        <f t="shared" si="3"/>
        <v>2023</v>
      </c>
      <c r="C26" s="19">
        <f t="shared" si="4"/>
        <v>7</v>
      </c>
      <c r="D26" s="143">
        <v>45108</v>
      </c>
      <c r="E26" s="19" t="str">
        <f t="shared" si="5"/>
        <v>7-2023</v>
      </c>
      <c r="F26" s="214">
        <v>5.0443560841730584</v>
      </c>
      <c r="G26" s="214">
        <v>0.8880808876599291</v>
      </c>
      <c r="H26" s="214">
        <v>5.9324369718329875</v>
      </c>
      <c r="I26" s="214">
        <v>5.3108155384060938</v>
      </c>
      <c r="J26" s="214">
        <v>1.4664363155196718</v>
      </c>
      <c r="K26" s="214">
        <v>6.7772518539257653</v>
      </c>
      <c r="L26" s="214">
        <v>5.4958452124294261</v>
      </c>
      <c r="M26" s="214">
        <v>0.69253054374736689</v>
      </c>
      <c r="N26" s="214">
        <v>6.1883757561767929</v>
      </c>
      <c r="O26" s="19"/>
      <c r="P26" s="226">
        <f t="shared" si="6"/>
        <v>5.2836722783361934</v>
      </c>
      <c r="Q26" s="226">
        <f t="shared" si="7"/>
        <v>6.2993548606451819</v>
      </c>
      <c r="R26" s="144"/>
      <c r="S26" s="146">
        <v>4</v>
      </c>
      <c r="T26" s="224">
        <f t="shared" si="9"/>
        <v>6.0321705781400796</v>
      </c>
      <c r="U26" s="224">
        <f t="shared" si="9"/>
        <v>6.0732105599343607</v>
      </c>
      <c r="V26" s="224">
        <f t="shared" si="9"/>
        <v>6.1160704130917418</v>
      </c>
      <c r="W26" s="224">
        <f t="shared" si="9"/>
        <v>6.1619557107750325</v>
      </c>
      <c r="X26" s="224">
        <f t="shared" si="9"/>
        <v>6.2100572604187692</v>
      </c>
      <c r="Y26" s="224">
        <f t="shared" si="9"/>
        <v>6.2597446282167128</v>
      </c>
      <c r="Z26" s="224">
        <f t="shared" si="9"/>
        <v>6.3118961542879122</v>
      </c>
      <c r="AA26" s="224">
        <f t="shared" si="9"/>
        <v>6.366419718898392</v>
      </c>
      <c r="AB26" s="224">
        <f t="shared" si="9"/>
        <v>6.4227529849622682</v>
      </c>
      <c r="AC26" s="224">
        <f t="shared" si="10"/>
        <v>6.4817319115346406</v>
      </c>
      <c r="AD26" s="224">
        <f t="shared" si="10"/>
        <v>6.5406710777103356</v>
      </c>
      <c r="AE26" s="224">
        <f t="shared" si="10"/>
        <v>6.603256704656765</v>
      </c>
      <c r="AF26" s="224">
        <f t="shared" si="10"/>
        <v>6.6700871821909216</v>
      </c>
      <c r="AG26" s="224">
        <f t="shared" si="10"/>
        <v>6.7400418241111195</v>
      </c>
      <c r="AH26" s="224">
        <f t="shared" si="10"/>
        <v>6.8127373188621254</v>
      </c>
      <c r="AI26" s="224">
        <f t="shared" si="10"/>
        <v>6.8878000162627826</v>
      </c>
      <c r="AJ26" s="224">
        <f t="shared" si="10"/>
        <v>6.9662974092332348</v>
      </c>
      <c r="AK26" s="224">
        <f t="shared" si="10"/>
        <v>7.0481499858659191</v>
      </c>
      <c r="AL26" s="224">
        <f t="shared" si="10"/>
        <v>7.1335742623874685</v>
      </c>
      <c r="AM26" s="224">
        <f t="shared" si="11"/>
        <v>7.2226715345660102</v>
      </c>
      <c r="AN26" s="224">
        <f t="shared" si="11"/>
        <v>7.3156345067923114</v>
      </c>
      <c r="AO26" s="224">
        <f t="shared" si="11"/>
        <v>7.4125506663068776</v>
      </c>
      <c r="AP26" s="224">
        <f t="shared" si="11"/>
        <v>7.513668716143485</v>
      </c>
      <c r="AQ26" s="224">
        <f t="shared" si="11"/>
        <v>7.6190823561271914</v>
      </c>
      <c r="AR26" s="224">
        <f t="shared" si="11"/>
        <v>7.7289613135863107</v>
      </c>
      <c r="AS26" s="224">
        <f t="shared" si="11"/>
        <v>7.8434539113088109</v>
      </c>
      <c r="AT26" s="224">
        <f t="shared" si="11"/>
        <v>7.9627549684289081</v>
      </c>
      <c r="AU26" s="224">
        <f t="shared" si="11"/>
        <v>8.0871165066227277</v>
      </c>
      <c r="AV26" s="224">
        <f t="shared" si="11"/>
        <v>8.2170499301320952</v>
      </c>
      <c r="AW26" s="224">
        <f t="shared" si="11"/>
        <v>8.3523691619593219</v>
      </c>
    </row>
    <row r="27" spans="2:49">
      <c r="B27" s="142">
        <f t="shared" si="3"/>
        <v>2023</v>
      </c>
      <c r="C27" s="19">
        <f t="shared" si="4"/>
        <v>8</v>
      </c>
      <c r="D27" s="143">
        <v>45139</v>
      </c>
      <c r="E27" s="19" t="str">
        <f t="shared" si="5"/>
        <v>8-2023</v>
      </c>
      <c r="F27" s="214">
        <v>4.9933310476755146</v>
      </c>
      <c r="G27" s="214">
        <v>0.8880808876599291</v>
      </c>
      <c r="H27" s="214">
        <v>5.8814119353354437</v>
      </c>
      <c r="I27" s="214">
        <v>5.2572333398680478</v>
      </c>
      <c r="J27" s="214">
        <v>1.4664363155196718</v>
      </c>
      <c r="K27" s="214">
        <v>6.7236696553877193</v>
      </c>
      <c r="L27" s="214">
        <v>5.4408182851239708</v>
      </c>
      <c r="M27" s="214">
        <v>0.69253054374736689</v>
      </c>
      <c r="N27" s="214">
        <v>6.1333488288713376</v>
      </c>
      <c r="O27" s="19"/>
      <c r="P27" s="226">
        <f t="shared" si="6"/>
        <v>5.2304608908891774</v>
      </c>
      <c r="Q27" s="226">
        <f t="shared" si="7"/>
        <v>6.2461434731981669</v>
      </c>
      <c r="R27" s="144"/>
      <c r="S27" s="146">
        <v>5</v>
      </c>
      <c r="T27" s="224">
        <f t="shared" si="9"/>
        <v>6.2021736308565325</v>
      </c>
      <c r="U27" s="224">
        <f t="shared" si="9"/>
        <v>6.2429921984128134</v>
      </c>
      <c r="V27" s="224">
        <f t="shared" si="9"/>
        <v>6.2858053227400079</v>
      </c>
      <c r="W27" s="224">
        <f t="shared" si="9"/>
        <v>6.3316261102479459</v>
      </c>
      <c r="X27" s="224">
        <f t="shared" si="9"/>
        <v>6.3795563780370799</v>
      </c>
      <c r="Y27" s="224">
        <f t="shared" si="9"/>
        <v>6.4291027150390319</v>
      </c>
      <c r="Z27" s="224">
        <f t="shared" si="9"/>
        <v>6.4812372272601095</v>
      </c>
      <c r="AA27" s="224">
        <f t="shared" si="9"/>
        <v>6.5354776332337279</v>
      </c>
      <c r="AB27" s="224">
        <f t="shared" si="9"/>
        <v>6.5918843068387787</v>
      </c>
      <c r="AC27" s="224">
        <f t="shared" si="10"/>
        <v>6.6503891353956348</v>
      </c>
      <c r="AD27" s="224">
        <f t="shared" si="10"/>
        <v>6.7091577451605273</v>
      </c>
      <c r="AE27" s="224">
        <f t="shared" si="10"/>
        <v>6.7717527891223019</v>
      </c>
      <c r="AF27" s="224">
        <f t="shared" si="10"/>
        <v>6.8384870513530913</v>
      </c>
      <c r="AG27" s="224">
        <f t="shared" si="10"/>
        <v>6.9083568623228659</v>
      </c>
      <c r="AH27" s="224">
        <f t="shared" si="10"/>
        <v>6.980831599011168</v>
      </c>
      <c r="AI27" s="224">
        <f t="shared" si="10"/>
        <v>7.0557819105901673</v>
      </c>
      <c r="AJ27" s="224">
        <f t="shared" si="10"/>
        <v>7.1341570762963871</v>
      </c>
      <c r="AK27" s="224">
        <f t="shared" si="10"/>
        <v>7.2158995036248363</v>
      </c>
      <c r="AL27" s="224">
        <f t="shared" si="10"/>
        <v>7.3012069946083926</v>
      </c>
      <c r="AM27" s="224">
        <f t="shared" si="11"/>
        <v>7.390206565893024</v>
      </c>
      <c r="AN27" s="224">
        <f t="shared" si="11"/>
        <v>7.4830610264179063</v>
      </c>
      <c r="AO27" s="224">
        <f t="shared" si="11"/>
        <v>7.5798904008829622</v>
      </c>
      <c r="AP27" s="224">
        <f t="shared" si="11"/>
        <v>7.6809176183519794</v>
      </c>
      <c r="AQ27" s="224">
        <f t="shared" si="11"/>
        <v>7.7862505660826358</v>
      </c>
      <c r="AR27" s="224">
        <f t="shared" si="11"/>
        <v>7.8960441395115408</v>
      </c>
      <c r="AS27" s="224">
        <f t="shared" si="11"/>
        <v>8.0104684719294479</v>
      </c>
      <c r="AT27" s="224">
        <f t="shared" si="11"/>
        <v>8.1296838316455524</v>
      </c>
      <c r="AU27" s="224">
        <f t="shared" si="11"/>
        <v>8.2540276130782306</v>
      </c>
      <c r="AV27" s="224">
        <f t="shared" si="11"/>
        <v>8.383921242695914</v>
      </c>
      <c r="AW27" s="224">
        <f t="shared" si="11"/>
        <v>8.5191847195147954</v>
      </c>
    </row>
    <row r="28" spans="2:49">
      <c r="B28" s="142">
        <f t="shared" si="3"/>
        <v>2023</v>
      </c>
      <c r="C28" s="19">
        <f t="shared" si="4"/>
        <v>9</v>
      </c>
      <c r="D28" s="143">
        <v>45170</v>
      </c>
      <c r="E28" s="19" t="str">
        <f t="shared" si="5"/>
        <v>9-2023</v>
      </c>
      <c r="F28" s="214">
        <v>5.0513339776099695</v>
      </c>
      <c r="G28" s="214">
        <v>0.8880808876599291</v>
      </c>
      <c r="H28" s="214">
        <v>5.9394148652698986</v>
      </c>
      <c r="I28" s="214">
        <v>5.3184422210583273</v>
      </c>
      <c r="J28" s="214">
        <v>1.4664363155196718</v>
      </c>
      <c r="K28" s="214">
        <v>6.7848785365779989</v>
      </c>
      <c r="L28" s="214">
        <v>5.5045936871090904</v>
      </c>
      <c r="M28" s="214">
        <v>0.69253054374736689</v>
      </c>
      <c r="N28" s="214">
        <v>6.1971242308564571</v>
      </c>
      <c r="O28" s="19"/>
      <c r="P28" s="226">
        <f t="shared" si="6"/>
        <v>5.2914566285924627</v>
      </c>
      <c r="Q28" s="226">
        <f t="shared" si="7"/>
        <v>6.3071392109014512</v>
      </c>
      <c r="R28" s="144"/>
      <c r="S28" s="146">
        <v>6</v>
      </c>
      <c r="T28" s="224">
        <f t="shared" si="9"/>
        <v>6.3328010016384511</v>
      </c>
      <c r="U28" s="224">
        <f t="shared" si="9"/>
        <v>6.3734326071254594</v>
      </c>
      <c r="V28" s="224">
        <f t="shared" si="9"/>
        <v>6.4162425818740632</v>
      </c>
      <c r="W28" s="224">
        <f t="shared" si="9"/>
        <v>6.462030439165332</v>
      </c>
      <c r="X28" s="224">
        <f t="shared" si="9"/>
        <v>6.5098131196277329</v>
      </c>
      <c r="Y28" s="224">
        <f t="shared" si="9"/>
        <v>6.559248322532965</v>
      </c>
      <c r="Z28" s="224">
        <f t="shared" si="9"/>
        <v>6.6113989316525306</v>
      </c>
      <c r="AA28" s="224">
        <f t="shared" si="9"/>
        <v>6.6653740479772345</v>
      </c>
      <c r="AB28" s="224">
        <f t="shared" si="9"/>
        <v>6.7218954239377355</v>
      </c>
      <c r="AC28" s="224">
        <f t="shared" si="10"/>
        <v>6.7799367280389928</v>
      </c>
      <c r="AD28" s="224">
        <f t="shared" si="10"/>
        <v>6.8385861179963685</v>
      </c>
      <c r="AE28" s="224">
        <f t="shared" si="10"/>
        <v>6.9012409430826223</v>
      </c>
      <c r="AF28" s="224">
        <f t="shared" si="10"/>
        <v>6.9679087194487304</v>
      </c>
      <c r="AG28" s="224">
        <f t="shared" si="10"/>
        <v>7.0377209636271116</v>
      </c>
      <c r="AH28" s="224">
        <f t="shared" si="10"/>
        <v>7.1099969980092901</v>
      </c>
      <c r="AI28" s="224">
        <f t="shared" si="10"/>
        <v>7.1848692585902398</v>
      </c>
      <c r="AJ28" s="224">
        <f t="shared" si="10"/>
        <v>7.2631533698390038</v>
      </c>
      <c r="AK28" s="224">
        <f t="shared" si="10"/>
        <v>7.3448159936323743</v>
      </c>
      <c r="AL28" s="224">
        <f t="shared" si="10"/>
        <v>7.4300351778106437</v>
      </c>
      <c r="AM28" s="224">
        <f t="shared" si="11"/>
        <v>7.5189653393609603</v>
      </c>
      <c r="AN28" s="224">
        <f t="shared" si="11"/>
        <v>7.611737343956082</v>
      </c>
      <c r="AO28" s="224">
        <f t="shared" si="11"/>
        <v>7.7085060319939087</v>
      </c>
      <c r="AP28" s="224">
        <f t="shared" si="11"/>
        <v>7.809466286491495</v>
      </c>
      <c r="AQ28" s="224">
        <f t="shared" si="11"/>
        <v>7.9147415674450903</v>
      </c>
      <c r="AR28" s="224">
        <f t="shared" si="11"/>
        <v>8.0244711345602369</v>
      </c>
      <c r="AS28" s="224">
        <f t="shared" si="11"/>
        <v>8.1388483018048134</v>
      </c>
      <c r="AT28" s="224">
        <f t="shared" si="11"/>
        <v>8.2579968477675223</v>
      </c>
      <c r="AU28" s="224">
        <f t="shared" si="11"/>
        <v>8.3823433186183447</v>
      </c>
      <c r="AV28" s="224">
        <f t="shared" si="11"/>
        <v>8.5122113784526743</v>
      </c>
      <c r="AW28" s="224">
        <f t="shared" si="11"/>
        <v>8.6474312414042629</v>
      </c>
    </row>
    <row r="29" spans="2:49">
      <c r="B29" s="142">
        <f t="shared" si="3"/>
        <v>2023</v>
      </c>
      <c r="C29" s="19">
        <f t="shared" si="4"/>
        <v>10</v>
      </c>
      <c r="D29" s="143">
        <v>45200</v>
      </c>
      <c r="E29" s="19" t="str">
        <f t="shared" si="5"/>
        <v>10-2023</v>
      </c>
      <c r="F29" s="214">
        <v>5.0100624721227298</v>
      </c>
      <c r="G29" s="214">
        <v>0.8880808876599291</v>
      </c>
      <c r="H29" s="214">
        <v>5.8981433597826589</v>
      </c>
      <c r="I29" s="214">
        <v>5.2751283116396648</v>
      </c>
      <c r="J29" s="214">
        <v>1.4664363155196718</v>
      </c>
      <c r="K29" s="214">
        <v>6.7415646271593364</v>
      </c>
      <c r="L29" s="214">
        <v>5.4601914063042525</v>
      </c>
      <c r="M29" s="214">
        <v>0.69253054374736689</v>
      </c>
      <c r="N29" s="214">
        <v>6.1527219500516193</v>
      </c>
      <c r="O29" s="19"/>
      <c r="P29" s="226">
        <f t="shared" si="6"/>
        <v>5.2484607300222157</v>
      </c>
      <c r="Q29" s="226">
        <f t="shared" si="7"/>
        <v>6.2641433123312042</v>
      </c>
      <c r="R29" s="144"/>
      <c r="S29" s="146">
        <v>7</v>
      </c>
      <c r="T29" s="224">
        <f t="shared" si="9"/>
        <v>6.3738012339079289</v>
      </c>
      <c r="U29" s="224">
        <f t="shared" si="9"/>
        <v>6.4143313786377023</v>
      </c>
      <c r="V29" s="224">
        <f t="shared" si="9"/>
        <v>6.4572236182867195</v>
      </c>
      <c r="W29" s="224">
        <f t="shared" si="9"/>
        <v>6.5030434279168503</v>
      </c>
      <c r="X29" s="224">
        <f t="shared" si="9"/>
        <v>6.5507391765205041</v>
      </c>
      <c r="Y29" s="224">
        <f t="shared" si="9"/>
        <v>6.6001324610970471</v>
      </c>
      <c r="Z29" s="224">
        <f t="shared" si="9"/>
        <v>6.6523622618008416</v>
      </c>
      <c r="AA29" s="224">
        <f t="shared" si="9"/>
        <v>6.7061328364342288</v>
      </c>
      <c r="AB29" s="224">
        <f t="shared" si="9"/>
        <v>6.7628383838790667</v>
      </c>
      <c r="AC29" s="224">
        <f t="shared" si="10"/>
        <v>6.8204819807943169</v>
      </c>
      <c r="AD29" s="224">
        <f t="shared" si="10"/>
        <v>6.8791240254182542</v>
      </c>
      <c r="AE29" s="224">
        <f t="shared" si="10"/>
        <v>6.9419311642820114</v>
      </c>
      <c r="AF29" s="224">
        <f t="shared" si="10"/>
        <v>7.008596993191234</v>
      </c>
      <c r="AG29" s="224">
        <f t="shared" si="10"/>
        <v>7.0784105253361576</v>
      </c>
      <c r="AH29" s="224">
        <f t="shared" si="10"/>
        <v>7.1505502933193243</v>
      </c>
      <c r="AI29" s="224">
        <f t="shared" si="10"/>
        <v>7.2254191622956787</v>
      </c>
      <c r="AJ29" s="224">
        <f t="shared" si="10"/>
        <v>7.3036819703695501</v>
      </c>
      <c r="AK29" s="224">
        <f t="shared" si="10"/>
        <v>7.3853318304203377</v>
      </c>
      <c r="AL29" s="224">
        <f t="shared" si="10"/>
        <v>7.4705269299738681</v>
      </c>
      <c r="AM29" s="224">
        <f t="shared" si="11"/>
        <v>7.5594496962420576</v>
      </c>
      <c r="AN29" s="224">
        <f t="shared" si="11"/>
        <v>7.652198165061777</v>
      </c>
      <c r="AO29" s="224">
        <f t="shared" si="11"/>
        <v>7.7489630491998227</v>
      </c>
      <c r="AP29" s="224">
        <f t="shared" si="11"/>
        <v>7.8499094813260823</v>
      </c>
      <c r="AQ29" s="224">
        <f t="shared" si="11"/>
        <v>7.9551776821189319</v>
      </c>
      <c r="AR29" s="224">
        <f t="shared" si="11"/>
        <v>8.0648912293156503</v>
      </c>
      <c r="AS29" s="224">
        <f t="shared" si="11"/>
        <v>8.179267034604349</v>
      </c>
      <c r="AT29" s="224">
        <f t="shared" si="11"/>
        <v>8.2983921560219986</v>
      </c>
      <c r="AU29" s="224">
        <f t="shared" si="11"/>
        <v>8.4227809843406671</v>
      </c>
      <c r="AV29" s="224">
        <f t="shared" si="11"/>
        <v>8.5526537448182509</v>
      </c>
      <c r="AW29" s="224">
        <f t="shared" si="11"/>
        <v>8.6878579547145929</v>
      </c>
    </row>
    <row r="30" spans="2:49">
      <c r="B30" s="142">
        <f t="shared" si="3"/>
        <v>2023</v>
      </c>
      <c r="C30" s="19">
        <f t="shared" si="4"/>
        <v>11</v>
      </c>
      <c r="D30" s="143">
        <v>45231</v>
      </c>
      <c r="E30" s="19" t="str">
        <f t="shared" si="5"/>
        <v>11-2023</v>
      </c>
      <c r="F30" s="214">
        <v>5.2449286323360811</v>
      </c>
      <c r="G30" s="214">
        <v>0.8880808876599291</v>
      </c>
      <c r="H30" s="214">
        <v>6.1330095199960102</v>
      </c>
      <c r="I30" s="214">
        <v>5.5225677334385086</v>
      </c>
      <c r="J30" s="214">
        <v>1.4664363155196718</v>
      </c>
      <c r="K30" s="214">
        <v>6.9890040489581802</v>
      </c>
      <c r="L30" s="214">
        <v>5.7167614643983633</v>
      </c>
      <c r="M30" s="214">
        <v>0.69253054374736689</v>
      </c>
      <c r="N30" s="214">
        <v>6.4092920081457301</v>
      </c>
      <c r="O30" s="19"/>
      <c r="P30" s="226">
        <f t="shared" si="6"/>
        <v>5.4947526100576516</v>
      </c>
      <c r="Q30" s="226">
        <f t="shared" si="7"/>
        <v>6.5104351923666401</v>
      </c>
      <c r="R30" s="144"/>
      <c r="S30" s="146">
        <v>8</v>
      </c>
      <c r="T30" s="224">
        <f t="shared" si="9"/>
        <v>6.3332190155189805</v>
      </c>
      <c r="U30" s="224">
        <f t="shared" si="9"/>
        <v>6.3737283126215019</v>
      </c>
      <c r="V30" s="224">
        <f t="shared" si="9"/>
        <v>6.4167751427636572</v>
      </c>
      <c r="W30" s="224">
        <f t="shared" si="9"/>
        <v>6.4626832093674329</v>
      </c>
      <c r="X30" s="224">
        <f t="shared" si="9"/>
        <v>6.510349882142652</v>
      </c>
      <c r="Y30" s="224">
        <f t="shared" si="9"/>
        <v>6.5597647098273031</v>
      </c>
      <c r="Z30" s="224">
        <f t="shared" si="9"/>
        <v>6.612126304890988</v>
      </c>
      <c r="AA30" s="224">
        <f t="shared" si="9"/>
        <v>6.6657555318710964</v>
      </c>
      <c r="AB30" s="224">
        <f t="shared" si="9"/>
        <v>6.7226988342486189</v>
      </c>
      <c r="AC30" s="224">
        <f t="shared" si="10"/>
        <v>6.7800210608083225</v>
      </c>
      <c r="AD30" s="224">
        <f t="shared" si="10"/>
        <v>6.838755634273717</v>
      </c>
      <c r="AE30" s="224">
        <f t="shared" si="10"/>
        <v>6.901790615938606</v>
      </c>
      <c r="AF30" s="224">
        <f t="shared" si="10"/>
        <v>6.9685120107061946</v>
      </c>
      <c r="AG30" s="224">
        <f t="shared" si="10"/>
        <v>7.0383791422365922</v>
      </c>
      <c r="AH30" s="224">
        <f t="shared" si="10"/>
        <v>7.1104442887322454</v>
      </c>
      <c r="AI30" s="224">
        <f t="shared" si="10"/>
        <v>7.1853763496098884</v>
      </c>
      <c r="AJ30" s="224">
        <f t="shared" si="10"/>
        <v>7.2636808712032277</v>
      </c>
      <c r="AK30" s="224">
        <f t="shared" si="10"/>
        <v>7.3453781899139798</v>
      </c>
      <c r="AL30" s="224">
        <f t="shared" si="10"/>
        <v>7.4306074260376116</v>
      </c>
      <c r="AM30" s="224">
        <f t="shared" si="11"/>
        <v>7.5195783079733998</v>
      </c>
      <c r="AN30" s="224">
        <f t="shared" si="11"/>
        <v>7.6123567199418005</v>
      </c>
      <c r="AO30" s="224">
        <f t="shared" si="11"/>
        <v>7.7091685842516098</v>
      </c>
      <c r="AP30" s="224">
        <f t="shared" si="11"/>
        <v>7.8101490962126334</v>
      </c>
      <c r="AQ30" s="224">
        <f t="shared" si="11"/>
        <v>7.915455545221814</v>
      </c>
      <c r="AR30" s="224">
        <f t="shared" si="11"/>
        <v>8.0251964866970642</v>
      </c>
      <c r="AS30" s="224">
        <f t="shared" si="11"/>
        <v>8.1396117466044089</v>
      </c>
      <c r="AT30" s="224">
        <f t="shared" si="11"/>
        <v>8.2587530979916437</v>
      </c>
      <c r="AU30" s="224">
        <f t="shared" si="11"/>
        <v>8.3832176875596414</v>
      </c>
      <c r="AV30" s="224">
        <f t="shared" si="11"/>
        <v>8.5131218732511869</v>
      </c>
      <c r="AW30" s="224">
        <f t="shared" si="11"/>
        <v>8.6483360091270356</v>
      </c>
    </row>
    <row r="31" spans="2:49">
      <c r="B31" s="142">
        <f t="shared" si="3"/>
        <v>2023</v>
      </c>
      <c r="C31" s="19">
        <f t="shared" si="4"/>
        <v>12</v>
      </c>
      <c r="D31" s="143">
        <v>45261</v>
      </c>
      <c r="E31" s="19" t="str">
        <f t="shared" si="5"/>
        <v>12-2023</v>
      </c>
      <c r="F31" s="214">
        <v>5.2742469107733125</v>
      </c>
      <c r="G31" s="214">
        <v>0.8880808876599291</v>
      </c>
      <c r="H31" s="214">
        <v>6.1623277984332416</v>
      </c>
      <c r="I31" s="214">
        <v>5.5535867962187666</v>
      </c>
      <c r="J31" s="214">
        <v>1.4664363155196718</v>
      </c>
      <c r="K31" s="214">
        <v>7.0200231117384382</v>
      </c>
      <c r="L31" s="214">
        <v>5.7493259373663719</v>
      </c>
      <c r="M31" s="214">
        <v>0.69253054374736689</v>
      </c>
      <c r="N31" s="214">
        <v>6.4418564811137387</v>
      </c>
      <c r="O31" s="19"/>
      <c r="P31" s="226">
        <f t="shared" si="6"/>
        <v>5.5257198814528179</v>
      </c>
      <c r="Q31" s="226">
        <f t="shared" si="7"/>
        <v>6.5414024637618056</v>
      </c>
      <c r="R31" s="144"/>
      <c r="S31" s="146">
        <v>9</v>
      </c>
      <c r="T31" s="224">
        <f t="shared" si="9"/>
        <v>6.406053281566261</v>
      </c>
      <c r="U31" s="224">
        <f t="shared" si="9"/>
        <v>6.4464279225563343</v>
      </c>
      <c r="V31" s="224">
        <f t="shared" si="9"/>
        <v>6.4895321810846909</v>
      </c>
      <c r="W31" s="224">
        <f t="shared" si="9"/>
        <v>6.5354519491843108</v>
      </c>
      <c r="X31" s="224">
        <f t="shared" si="9"/>
        <v>6.5830074629751243</v>
      </c>
      <c r="Y31" s="224">
        <f t="shared" si="9"/>
        <v>6.6323553231091665</v>
      </c>
      <c r="Z31" s="224">
        <f t="shared" si="9"/>
        <v>6.6847785985991637</v>
      </c>
      <c r="AA31" s="224">
        <f t="shared" si="9"/>
        <v>6.738173693605483</v>
      </c>
      <c r="AB31" s="224">
        <f t="shared" si="9"/>
        <v>6.795286284027803</v>
      </c>
      <c r="AC31" s="224">
        <f t="shared" si="10"/>
        <v>6.8521707599378798</v>
      </c>
      <c r="AD31" s="224">
        <f t="shared" si="10"/>
        <v>6.9108602394282492</v>
      </c>
      <c r="AE31" s="224">
        <f t="shared" si="10"/>
        <v>6.9740234936277874</v>
      </c>
      <c r="AF31" s="224">
        <f t="shared" si="10"/>
        <v>7.040721268235707</v>
      </c>
      <c r="AG31" s="224">
        <f t="shared" si="10"/>
        <v>7.1105700625743191</v>
      </c>
      <c r="AH31" s="224">
        <f t="shared" si="10"/>
        <v>7.182471883348323</v>
      </c>
      <c r="AI31" s="224">
        <f t="shared" si="10"/>
        <v>7.2573754295522503</v>
      </c>
      <c r="AJ31" s="224">
        <f t="shared" si="10"/>
        <v>7.335634354304827</v>
      </c>
      <c r="AK31" s="224">
        <f t="shared" si="10"/>
        <v>7.4172959096085149</v>
      </c>
      <c r="AL31" s="224">
        <f t="shared" si="10"/>
        <v>7.5024784905040507</v>
      </c>
      <c r="AM31" s="224">
        <f t="shared" si="11"/>
        <v>7.5914209015789353</v>
      </c>
      <c r="AN31" s="224">
        <f t="shared" si="11"/>
        <v>7.6841550052771526</v>
      </c>
      <c r="AO31" s="224">
        <f t="shared" si="11"/>
        <v>7.7809438692708985</v>
      </c>
      <c r="AP31" s="224">
        <f t="shared" si="11"/>
        <v>7.8818921596851297</v>
      </c>
      <c r="AQ31" s="224">
        <f t="shared" si="11"/>
        <v>7.9871742891997437</v>
      </c>
      <c r="AR31" s="224">
        <f t="shared" si="11"/>
        <v>8.0968824357350471</v>
      </c>
      <c r="AS31" s="224">
        <f t="shared" si="11"/>
        <v>8.2112809533796192</v>
      </c>
      <c r="AT31" s="224">
        <f t="shared" si="11"/>
        <v>8.3303833069837196</v>
      </c>
      <c r="AU31" s="224">
        <f t="shared" si="11"/>
        <v>8.4548789077378892</v>
      </c>
      <c r="AV31" s="224">
        <f t="shared" si="11"/>
        <v>8.5847778834641559</v>
      </c>
      <c r="AW31" s="224">
        <f t="shared" si="11"/>
        <v>8.7199663053091498</v>
      </c>
    </row>
    <row r="32" spans="2:49">
      <c r="B32" s="142">
        <f t="shared" si="3"/>
        <v>2024</v>
      </c>
      <c r="C32" s="19">
        <f t="shared" si="4"/>
        <v>1</v>
      </c>
      <c r="D32" s="143">
        <v>45292</v>
      </c>
      <c r="E32" s="19" t="str">
        <f t="shared" si="5"/>
        <v>1-2024</v>
      </c>
      <c r="F32" s="214">
        <v>5.2766502880484891</v>
      </c>
      <c r="G32" s="214">
        <v>0.92360412316632634</v>
      </c>
      <c r="H32" s="214">
        <v>6.2002544112148152</v>
      </c>
      <c r="I32" s="214">
        <v>5.5550752180072349</v>
      </c>
      <c r="J32" s="214">
        <v>1.5250937681404588</v>
      </c>
      <c r="K32" s="214">
        <v>7.0801689861476937</v>
      </c>
      <c r="L32" s="214">
        <v>5.7509592151853015</v>
      </c>
      <c r="M32" s="214">
        <v>0.72023176549726176</v>
      </c>
      <c r="N32" s="214">
        <v>6.4711909806825636</v>
      </c>
      <c r="O32" s="19"/>
      <c r="P32" s="226">
        <f t="shared" si="6"/>
        <v>5.5275615737470085</v>
      </c>
      <c r="Q32" s="226">
        <f t="shared" si="7"/>
        <v>6.5838714593483578</v>
      </c>
      <c r="R32" s="144"/>
      <c r="S32" s="146">
        <v>10</v>
      </c>
      <c r="T32" s="224">
        <f t="shared" si="9"/>
        <v>6.3755453928386494</v>
      </c>
      <c r="U32" s="224">
        <f t="shared" si="9"/>
        <v>6.4158894307746834</v>
      </c>
      <c r="V32" s="224">
        <f t="shared" si="9"/>
        <v>6.4591389608817833</v>
      </c>
      <c r="W32" s="224">
        <f t="shared" si="9"/>
        <v>6.5051398361728987</v>
      </c>
      <c r="X32" s="224">
        <f t="shared" si="9"/>
        <v>6.5526593187963984</v>
      </c>
      <c r="Y32" s="224">
        <f t="shared" si="9"/>
        <v>6.6020209181754828</v>
      </c>
      <c r="Z32" s="224">
        <f t="shared" si="9"/>
        <v>6.6545691470539792</v>
      </c>
      <c r="AA32" s="224">
        <f t="shared" si="9"/>
        <v>6.7078156555308981</v>
      </c>
      <c r="AB32" s="224">
        <f t="shared" si="9"/>
        <v>6.7651586940814754</v>
      </c>
      <c r="AC32" s="224">
        <f t="shared" si="10"/>
        <v>6.8217135475675788</v>
      </c>
      <c r="AD32" s="224">
        <f t="shared" si="10"/>
        <v>6.8804830827434609</v>
      </c>
      <c r="AE32" s="224">
        <f t="shared" si="10"/>
        <v>6.9438642310355734</v>
      </c>
      <c r="AF32" s="224">
        <f t="shared" si="10"/>
        <v>7.0106103812786786</v>
      </c>
      <c r="AG32" s="224">
        <f t="shared" si="10"/>
        <v>7.0805062251132531</v>
      </c>
      <c r="AH32" s="224">
        <f t="shared" si="10"/>
        <v>7.1523261562094973</v>
      </c>
      <c r="AI32" s="224">
        <f t="shared" si="10"/>
        <v>7.2272845738670393</v>
      </c>
      <c r="AJ32" s="224">
        <f t="shared" si="10"/>
        <v>7.3055773965464725</v>
      </c>
      <c r="AK32" s="224">
        <f t="shared" si="10"/>
        <v>7.3872789166539121</v>
      </c>
      <c r="AL32" s="224">
        <f t="shared" si="10"/>
        <v>7.472488427674441</v>
      </c>
      <c r="AM32" s="224">
        <f t="shared" si="11"/>
        <v>7.5614720325538896</v>
      </c>
      <c r="AN32" s="224">
        <f t="shared" si="11"/>
        <v>7.6542294645577824</v>
      </c>
      <c r="AO32" s="224">
        <f t="shared" si="11"/>
        <v>7.7510589665919083</v>
      </c>
      <c r="AP32" s="224">
        <f t="shared" si="11"/>
        <v>7.8520353880596474</v>
      </c>
      <c r="AQ32" s="224">
        <f t="shared" si="11"/>
        <v>7.957350117033573</v>
      </c>
      <c r="AR32" s="224">
        <f t="shared" si="11"/>
        <v>8.0670802778292057</v>
      </c>
      <c r="AS32" s="224">
        <f t="shared" si="11"/>
        <v>8.1815131472034039</v>
      </c>
      <c r="AT32" s="224">
        <f t="shared" si="11"/>
        <v>8.300626845406196</v>
      </c>
      <c r="AU32" s="224">
        <f t="shared" si="11"/>
        <v>8.4251938891815783</v>
      </c>
      <c r="AV32" s="224">
        <f t="shared" si="11"/>
        <v>8.555120930736944</v>
      </c>
      <c r="AW32" s="224">
        <f t="shared" si="11"/>
        <v>8.6903161290416477</v>
      </c>
    </row>
    <row r="33" spans="2:49">
      <c r="B33" s="142">
        <f t="shared" si="3"/>
        <v>2024</v>
      </c>
      <c r="C33" s="19">
        <f t="shared" si="4"/>
        <v>2</v>
      </c>
      <c r="D33" s="143">
        <v>45323</v>
      </c>
      <c r="E33" s="19" t="str">
        <f t="shared" si="5"/>
        <v>2-2024</v>
      </c>
      <c r="F33" s="214">
        <v>5.1630090217997378</v>
      </c>
      <c r="G33" s="214">
        <v>0.92360412316632634</v>
      </c>
      <c r="H33" s="214">
        <v>6.0866131449660639</v>
      </c>
      <c r="I33" s="214">
        <v>5.4344185426172062</v>
      </c>
      <c r="J33" s="214">
        <v>1.5250937681404588</v>
      </c>
      <c r="K33" s="214">
        <v>6.9595123107576651</v>
      </c>
      <c r="L33" s="214">
        <v>5.6261382824201025</v>
      </c>
      <c r="M33" s="214">
        <v>0.72023176549726176</v>
      </c>
      <c r="N33" s="214">
        <v>6.3463700479173646</v>
      </c>
      <c r="O33" s="19"/>
      <c r="P33" s="226">
        <f t="shared" si="6"/>
        <v>5.4078552822790158</v>
      </c>
      <c r="Q33" s="226">
        <f t="shared" si="7"/>
        <v>6.4641651678803642</v>
      </c>
      <c r="R33" s="144"/>
      <c r="S33" s="146">
        <v>11</v>
      </c>
      <c r="T33" s="224">
        <f t="shared" si="9"/>
        <v>6.6340126704884286</v>
      </c>
      <c r="U33" s="224">
        <f t="shared" si="9"/>
        <v>6.6740276442919395</v>
      </c>
      <c r="V33" s="224">
        <f t="shared" si="9"/>
        <v>6.7171914027086723</v>
      </c>
      <c r="W33" s="224">
        <f t="shared" si="9"/>
        <v>6.7630867184319996</v>
      </c>
      <c r="X33" s="224">
        <f t="shared" si="9"/>
        <v>6.8103529727172321</v>
      </c>
      <c r="Y33" s="224">
        <f t="shared" si="9"/>
        <v>6.8595013980026289</v>
      </c>
      <c r="Z33" s="224">
        <f t="shared" si="9"/>
        <v>6.9120106451209766</v>
      </c>
      <c r="AA33" s="224">
        <f t="shared" si="9"/>
        <v>6.9648481003581155</v>
      </c>
      <c r="AB33" s="224">
        <f t="shared" si="9"/>
        <v>7.0222765357825212</v>
      </c>
      <c r="AC33" s="224">
        <f t="shared" si="10"/>
        <v>7.0781552006338702</v>
      </c>
      <c r="AD33" s="224">
        <f t="shared" si="10"/>
        <v>7.1366601073849623</v>
      </c>
      <c r="AE33" s="224">
        <f t="shared" si="10"/>
        <v>7.2000319494060996</v>
      </c>
      <c r="AF33" s="224">
        <f t="shared" si="10"/>
        <v>7.2666284700897004</v>
      </c>
      <c r="AG33" s="224">
        <f t="shared" si="10"/>
        <v>7.3363919156557733</v>
      </c>
      <c r="AH33" s="224">
        <f t="shared" si="10"/>
        <v>7.4078892851706319</v>
      </c>
      <c r="AI33" s="224">
        <f t="shared" si="10"/>
        <v>7.4826731014745436</v>
      </c>
      <c r="AJ33" s="224">
        <f t="shared" si="10"/>
        <v>7.5607788065882984</v>
      </c>
      <c r="AK33" s="224">
        <f t="shared" si="10"/>
        <v>7.6423106862022108</v>
      </c>
      <c r="AL33" s="224">
        <f t="shared" si="10"/>
        <v>7.7273419976459889</v>
      </c>
      <c r="AM33" s="224">
        <f t="shared" si="11"/>
        <v>7.8161745156483446</v>
      </c>
      <c r="AN33" s="224">
        <f t="shared" si="11"/>
        <v>7.9087665551138331</v>
      </c>
      <c r="AO33" s="224">
        <f t="shared" si="11"/>
        <v>8.0054614154218751</v>
      </c>
      <c r="AP33" s="224">
        <f t="shared" si="11"/>
        <v>8.1062984654325128</v>
      </c>
      <c r="AQ33" s="224">
        <f t="shared" si="11"/>
        <v>8.2114885631642007</v>
      </c>
      <c r="AR33" s="224">
        <f t="shared" si="11"/>
        <v>8.3210881888609478</v>
      </c>
      <c r="AS33" s="224">
        <f t="shared" si="11"/>
        <v>8.4354148920986045</v>
      </c>
      <c r="AT33" s="224">
        <f t="shared" si="11"/>
        <v>8.5543987326878952</v>
      </c>
      <c r="AU33" s="224">
        <f t="shared" si="11"/>
        <v>8.6789314363768408</v>
      </c>
      <c r="AV33" s="224">
        <f t="shared" si="11"/>
        <v>8.8087957254124358</v>
      </c>
      <c r="AW33" s="224">
        <f t="shared" si="11"/>
        <v>8.9439065029541016</v>
      </c>
    </row>
    <row r="34" spans="2:49">
      <c r="B34" s="142">
        <f t="shared" si="3"/>
        <v>2024</v>
      </c>
      <c r="C34" s="19">
        <f t="shared" si="4"/>
        <v>3</v>
      </c>
      <c r="D34" s="143">
        <v>45352</v>
      </c>
      <c r="E34" s="19" t="str">
        <f t="shared" si="5"/>
        <v>3-2024</v>
      </c>
      <c r="F34" s="214">
        <v>4.7415373521038031</v>
      </c>
      <c r="G34" s="214">
        <v>0.92360412316632634</v>
      </c>
      <c r="H34" s="214">
        <v>5.6651414752701292</v>
      </c>
      <c r="I34" s="214">
        <v>4.9898556929444062</v>
      </c>
      <c r="J34" s="214">
        <v>1.5250937681404588</v>
      </c>
      <c r="K34" s="214">
        <v>6.5149494610848651</v>
      </c>
      <c r="L34" s="214">
        <v>5.1659747299150354</v>
      </c>
      <c r="M34" s="214">
        <v>0.72023176549726176</v>
      </c>
      <c r="N34" s="214">
        <v>5.8862064954122975</v>
      </c>
      <c r="O34" s="19"/>
      <c r="P34" s="226">
        <f t="shared" si="6"/>
        <v>4.9657892583210819</v>
      </c>
      <c r="Q34" s="226">
        <f t="shared" si="7"/>
        <v>6.0220991439224294</v>
      </c>
      <c r="R34" s="144"/>
      <c r="S34" s="149">
        <v>12</v>
      </c>
      <c r="T34" s="224">
        <f t="shared" si="9"/>
        <v>6.6779965616688246</v>
      </c>
      <c r="U34" s="224">
        <f t="shared" si="9"/>
        <v>6.7179009573482888</v>
      </c>
      <c r="V34" s="224">
        <f t="shared" si="9"/>
        <v>6.7611563416263936</v>
      </c>
      <c r="W34" s="224">
        <f t="shared" si="9"/>
        <v>6.8070876489266743</v>
      </c>
      <c r="X34" s="224">
        <f t="shared" si="9"/>
        <v>6.8542589992448955</v>
      </c>
      <c r="Y34" s="224">
        <f t="shared" si="9"/>
        <v>6.9033621705309862</v>
      </c>
      <c r="Z34" s="224">
        <f t="shared" si="9"/>
        <v>6.9559593771287709</v>
      </c>
      <c r="AA34" s="224">
        <f t="shared" si="9"/>
        <v>7.0085724903502538</v>
      </c>
      <c r="AB34" s="224">
        <f t="shared" si="9"/>
        <v>7.0662045053012603</v>
      </c>
      <c r="AC34" s="224">
        <f t="shared" si="10"/>
        <v>7.1216462982257509</v>
      </c>
      <c r="AD34" s="224">
        <f t="shared" si="10"/>
        <v>7.1801445440749347</v>
      </c>
      <c r="AE34" s="224">
        <f t="shared" si="10"/>
        <v>7.2436851970227005</v>
      </c>
      <c r="AF34" s="224">
        <f t="shared" si="10"/>
        <v>7.3102803954114721</v>
      </c>
      <c r="AG34" s="224">
        <f t="shared" si="10"/>
        <v>7.3800460072245313</v>
      </c>
      <c r="AH34" s="224">
        <f t="shared" si="10"/>
        <v>7.4513941987322196</v>
      </c>
      <c r="AI34" s="224">
        <f t="shared" si="10"/>
        <v>7.5261752320953077</v>
      </c>
      <c r="AJ34" s="224">
        <f t="shared" si="10"/>
        <v>7.6042583786827054</v>
      </c>
      <c r="AK34" s="224">
        <f t="shared" si="10"/>
        <v>7.6857770636180254</v>
      </c>
      <c r="AL34" s="224">
        <f t="shared" si="10"/>
        <v>7.7707826849829758</v>
      </c>
      <c r="AM34" s="224">
        <f t="shared" si="11"/>
        <v>7.8596078528048352</v>
      </c>
      <c r="AN34" s="224">
        <f t="shared" si="11"/>
        <v>7.9521747387940414</v>
      </c>
      <c r="AO34" s="224">
        <f t="shared" si="11"/>
        <v>8.0488661362441611</v>
      </c>
      <c r="AP34" s="224">
        <f t="shared" si="11"/>
        <v>8.1496886496469809</v>
      </c>
      <c r="AQ34" s="224">
        <f t="shared" si="11"/>
        <v>8.2548715986330894</v>
      </c>
      <c r="AR34" s="224">
        <f t="shared" si="11"/>
        <v>8.3644542035715492</v>
      </c>
      <c r="AS34" s="224">
        <f t="shared" si="11"/>
        <v>8.478779990561927</v>
      </c>
      <c r="AT34" s="224">
        <f t="shared" si="11"/>
        <v>8.5977386025124325</v>
      </c>
      <c r="AU34" s="224">
        <f t="shared" si="11"/>
        <v>8.7223184287002464</v>
      </c>
      <c r="AV34" s="224">
        <f t="shared" si="11"/>
        <v>8.8521882762699615</v>
      </c>
      <c r="AW34" s="224">
        <f t="shared" si="11"/>
        <v>8.9872821820560684</v>
      </c>
    </row>
    <row r="35" spans="2:49">
      <c r="B35" s="142">
        <f t="shared" si="3"/>
        <v>2024</v>
      </c>
      <c r="C35" s="19">
        <f t="shared" si="4"/>
        <v>4</v>
      </c>
      <c r="D35" s="143">
        <v>45383</v>
      </c>
      <c r="E35" s="19" t="str">
        <f t="shared" si="5"/>
        <v>4-2024</v>
      </c>
      <c r="F35" s="214">
        <v>4.6627073811511179</v>
      </c>
      <c r="G35" s="214">
        <v>0.92360412316632634</v>
      </c>
      <c r="H35" s="214">
        <v>5.5863115043174441</v>
      </c>
      <c r="I35" s="214">
        <v>4.9059783114214071</v>
      </c>
      <c r="J35" s="214">
        <v>1.5250937681404588</v>
      </c>
      <c r="K35" s="214">
        <v>6.4310720795618659</v>
      </c>
      <c r="L35" s="214">
        <v>5.0792183786828087</v>
      </c>
      <c r="M35" s="214">
        <v>0.72023176549726176</v>
      </c>
      <c r="N35" s="214">
        <v>5.7994501441800708</v>
      </c>
      <c r="O35" s="19"/>
      <c r="P35" s="226">
        <f t="shared" si="6"/>
        <v>4.8826346904184446</v>
      </c>
      <c r="Q35" s="226">
        <f t="shared" si="7"/>
        <v>5.938944576019793</v>
      </c>
      <c r="R35" s="144"/>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row>
    <row r="36" spans="2:49">
      <c r="B36" s="142">
        <f t="shared" si="3"/>
        <v>2024</v>
      </c>
      <c r="C36" s="19">
        <f t="shared" si="4"/>
        <v>5</v>
      </c>
      <c r="D36" s="143">
        <v>45413</v>
      </c>
      <c r="E36" s="19" t="str">
        <f t="shared" si="5"/>
        <v>5-2024</v>
      </c>
      <c r="F36" s="214">
        <v>4.8268973072978572</v>
      </c>
      <c r="G36" s="214">
        <v>0.92360412316632634</v>
      </c>
      <c r="H36" s="214">
        <v>5.7505014304641833</v>
      </c>
      <c r="I36" s="214">
        <v>5.0777839373557603</v>
      </c>
      <c r="J36" s="214">
        <v>1.5250937681404588</v>
      </c>
      <c r="K36" s="214">
        <v>6.6028777054962191</v>
      </c>
      <c r="L36" s="214">
        <v>5.2571751543636109</v>
      </c>
      <c r="M36" s="214">
        <v>0.72023176549726176</v>
      </c>
      <c r="N36" s="214">
        <v>5.977406919860873</v>
      </c>
      <c r="O36" s="19"/>
      <c r="P36" s="226">
        <f t="shared" si="6"/>
        <v>5.0539521330057431</v>
      </c>
      <c r="Q36" s="226">
        <f t="shared" si="7"/>
        <v>6.1102620186070915</v>
      </c>
      <c r="R36" s="144"/>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row>
    <row r="37" spans="2:49">
      <c r="B37" s="142">
        <f t="shared" si="3"/>
        <v>2024</v>
      </c>
      <c r="C37" s="19">
        <f t="shared" si="4"/>
        <v>6</v>
      </c>
      <c r="D37" s="143">
        <v>45444</v>
      </c>
      <c r="E37" s="19" t="str">
        <f t="shared" si="5"/>
        <v>6-2024</v>
      </c>
      <c r="F37" s="214">
        <v>4.9536468155432969</v>
      </c>
      <c r="G37" s="214">
        <v>0.92360412316632634</v>
      </c>
      <c r="H37" s="214">
        <v>5.877250938709623</v>
      </c>
      <c r="I37" s="214">
        <v>5.2101465016394384</v>
      </c>
      <c r="J37" s="214">
        <v>1.5250937681404588</v>
      </c>
      <c r="K37" s="214">
        <v>6.7352402697798972</v>
      </c>
      <c r="L37" s="214">
        <v>5.3943004218511765</v>
      </c>
      <c r="M37" s="214">
        <v>0.72023176549726176</v>
      </c>
      <c r="N37" s="214">
        <v>6.1145321873484386</v>
      </c>
      <c r="O37" s="19"/>
      <c r="P37" s="226">
        <f t="shared" si="6"/>
        <v>5.186031246344637</v>
      </c>
      <c r="Q37" s="226">
        <f t="shared" si="7"/>
        <v>6.2423411319459854</v>
      </c>
      <c r="R37" s="144"/>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row>
    <row r="38" spans="2:49">
      <c r="B38" s="142">
        <f t="shared" si="3"/>
        <v>2024</v>
      </c>
      <c r="C38" s="19">
        <f t="shared" si="4"/>
        <v>7</v>
      </c>
      <c r="D38" s="143">
        <v>45474</v>
      </c>
      <c r="E38" s="19" t="str">
        <f t="shared" si="5"/>
        <v>7-2024</v>
      </c>
      <c r="F38" s="214">
        <v>4.9949265108638619</v>
      </c>
      <c r="G38" s="214">
        <v>0.92360412316632634</v>
      </c>
      <c r="H38" s="214">
        <v>5.918530634030188</v>
      </c>
      <c r="I38" s="214">
        <v>5.2525812544901846</v>
      </c>
      <c r="J38" s="214">
        <v>1.5250937681404588</v>
      </c>
      <c r="K38" s="214">
        <v>6.7776750226306435</v>
      </c>
      <c r="L38" s="214">
        <v>5.4383222303250296</v>
      </c>
      <c r="M38" s="214">
        <v>0.72023176549726176</v>
      </c>
      <c r="N38" s="214">
        <v>6.1585539958222917</v>
      </c>
      <c r="O38" s="19"/>
      <c r="P38" s="226">
        <f t="shared" si="6"/>
        <v>5.2286099985596923</v>
      </c>
      <c r="Q38" s="226">
        <f t="shared" si="7"/>
        <v>6.2849198841610416</v>
      </c>
      <c r="R38" s="144"/>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row>
    <row r="39" spans="2:49">
      <c r="B39" s="142">
        <f t="shared" si="3"/>
        <v>2024</v>
      </c>
      <c r="C39" s="19">
        <f t="shared" si="4"/>
        <v>8</v>
      </c>
      <c r="D39" s="143">
        <v>45505</v>
      </c>
      <c r="E39" s="19" t="str">
        <f t="shared" si="5"/>
        <v>8-2024</v>
      </c>
      <c r="F39" s="214">
        <v>4.9583104560947087</v>
      </c>
      <c r="G39" s="214">
        <v>0.92360412316632634</v>
      </c>
      <c r="H39" s="214">
        <v>5.8819145792610348</v>
      </c>
      <c r="I39" s="214">
        <v>5.2131019124636033</v>
      </c>
      <c r="J39" s="214">
        <v>1.5250937681404588</v>
      </c>
      <c r="K39" s="214">
        <v>6.7381956806040622</v>
      </c>
      <c r="L39" s="214">
        <v>5.3975333302486419</v>
      </c>
      <c r="M39" s="214">
        <v>0.72023176549726176</v>
      </c>
      <c r="N39" s="214">
        <v>6.117765095745904</v>
      </c>
      <c r="O39" s="19"/>
      <c r="P39" s="226">
        <f t="shared" si="6"/>
        <v>5.1896485662689846</v>
      </c>
      <c r="Q39" s="226">
        <f t="shared" si="7"/>
        <v>6.2459584518703339</v>
      </c>
      <c r="R39" s="144"/>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row>
    <row r="40" spans="2:49">
      <c r="B40" s="142">
        <f t="shared" si="3"/>
        <v>2024</v>
      </c>
      <c r="C40" s="19">
        <f t="shared" si="4"/>
        <v>9</v>
      </c>
      <c r="D40" s="143">
        <v>45536</v>
      </c>
      <c r="E40" s="19" t="str">
        <f t="shared" si="5"/>
        <v>9-2024</v>
      </c>
      <c r="F40" s="214">
        <v>5.0300464677769545</v>
      </c>
      <c r="G40" s="214">
        <v>0.92360412316632634</v>
      </c>
      <c r="H40" s="214">
        <v>5.9536505909432806</v>
      </c>
      <c r="I40" s="214">
        <v>5.2875362956548679</v>
      </c>
      <c r="J40" s="214">
        <v>1.5250937681404588</v>
      </c>
      <c r="K40" s="214">
        <v>6.8126300637953268</v>
      </c>
      <c r="L40" s="214">
        <v>5.4746887959926811</v>
      </c>
      <c r="M40" s="214">
        <v>0.72023176549726176</v>
      </c>
      <c r="N40" s="214">
        <v>6.1949205614899432</v>
      </c>
      <c r="O40" s="19"/>
      <c r="P40" s="226">
        <f t="shared" si="6"/>
        <v>5.2640905198081676</v>
      </c>
      <c r="Q40" s="226">
        <f t="shared" si="7"/>
        <v>6.3204004054095178</v>
      </c>
      <c r="R40" s="144"/>
    </row>
    <row r="41" spans="2:49">
      <c r="B41" s="142">
        <f t="shared" si="3"/>
        <v>2024</v>
      </c>
      <c r="C41" s="19">
        <f t="shared" si="4"/>
        <v>10</v>
      </c>
      <c r="D41" s="143">
        <v>45566</v>
      </c>
      <c r="E41" s="19" t="str">
        <f t="shared" si="5"/>
        <v>10-2024</v>
      </c>
      <c r="F41" s="214">
        <v>5.0030425157969098</v>
      </c>
      <c r="G41" s="214">
        <v>0.92360412316632634</v>
      </c>
      <c r="H41" s="214">
        <v>5.926646638963236</v>
      </c>
      <c r="I41" s="214">
        <v>5.2581680929565415</v>
      </c>
      <c r="J41" s="214">
        <v>1.5250937681404588</v>
      </c>
      <c r="K41" s="214">
        <v>6.7832618610970004</v>
      </c>
      <c r="L41" s="214">
        <v>5.4443682986311694</v>
      </c>
      <c r="M41" s="214">
        <v>0.72023176549726176</v>
      </c>
      <c r="N41" s="214">
        <v>6.1646000641284315</v>
      </c>
      <c r="O41" s="19"/>
      <c r="P41" s="226">
        <f t="shared" si="6"/>
        <v>5.2351929691282066</v>
      </c>
      <c r="Q41" s="226">
        <f t="shared" si="7"/>
        <v>6.2915028547295568</v>
      </c>
      <c r="R41" s="144"/>
    </row>
    <row r="42" spans="2:49">
      <c r="B42" s="142">
        <f t="shared" si="3"/>
        <v>2024</v>
      </c>
      <c r="C42" s="19">
        <f t="shared" si="4"/>
        <v>11</v>
      </c>
      <c r="D42" s="143">
        <v>45597</v>
      </c>
      <c r="E42" s="19" t="str">
        <f t="shared" si="5"/>
        <v>11-2024</v>
      </c>
      <c r="F42" s="214">
        <v>5.2524069640880615</v>
      </c>
      <c r="G42" s="214">
        <v>0.92360412316632634</v>
      </c>
      <c r="H42" s="214">
        <v>6.1760110872543876</v>
      </c>
      <c r="I42" s="214">
        <v>5.5192185335500898</v>
      </c>
      <c r="J42" s="214">
        <v>1.5250937681404588</v>
      </c>
      <c r="K42" s="214">
        <v>7.0443123016905487</v>
      </c>
      <c r="L42" s="214">
        <v>5.7147544479254799</v>
      </c>
      <c r="M42" s="214">
        <v>0.72023176549726176</v>
      </c>
      <c r="N42" s="214">
        <v>6.434986213422742</v>
      </c>
      <c r="O42" s="19"/>
      <c r="P42" s="226">
        <f t="shared" si="6"/>
        <v>5.4954599818545438</v>
      </c>
      <c r="Q42" s="226">
        <f t="shared" si="7"/>
        <v>6.5517698674558931</v>
      </c>
      <c r="R42" s="144"/>
    </row>
    <row r="43" spans="2:49">
      <c r="B43" s="142">
        <f t="shared" si="3"/>
        <v>2024</v>
      </c>
      <c r="C43" s="19">
        <f t="shared" si="4"/>
        <v>12</v>
      </c>
      <c r="D43" s="143">
        <v>45627</v>
      </c>
      <c r="E43" s="19" t="str">
        <f t="shared" si="5"/>
        <v>12-2024</v>
      </c>
      <c r="F43" s="214">
        <v>5.2967513155721253</v>
      </c>
      <c r="G43" s="214">
        <v>0.92360412316632634</v>
      </c>
      <c r="H43" s="214">
        <v>6.2203554387384514</v>
      </c>
      <c r="I43" s="214">
        <v>5.5647774066982354</v>
      </c>
      <c r="J43" s="214">
        <v>1.5250937681404588</v>
      </c>
      <c r="K43" s="214">
        <v>7.0898711748386942</v>
      </c>
      <c r="L43" s="214">
        <v>5.762019605646298</v>
      </c>
      <c r="M43" s="214">
        <v>0.72023176549726176</v>
      </c>
      <c r="N43" s="214">
        <v>6.4822513711435601</v>
      </c>
      <c r="O43" s="19"/>
      <c r="P43" s="226">
        <f t="shared" si="6"/>
        <v>5.5411827759722199</v>
      </c>
      <c r="Q43" s="226">
        <f t="shared" si="7"/>
        <v>6.5974926615735683</v>
      </c>
      <c r="R43" s="144"/>
    </row>
    <row r="44" spans="2:49">
      <c r="B44" s="142">
        <f t="shared" si="3"/>
        <v>2025</v>
      </c>
      <c r="C44" s="19">
        <f t="shared" si="4"/>
        <v>1</v>
      </c>
      <c r="D44" s="143">
        <v>45658</v>
      </c>
      <c r="E44" s="19" t="str">
        <f t="shared" si="5"/>
        <v>1-2025</v>
      </c>
      <c r="F44" s="214">
        <v>5.2972198890893569</v>
      </c>
      <c r="G44" s="214">
        <v>0.96054828809297943</v>
      </c>
      <c r="H44" s="214">
        <v>6.2577681771823368</v>
      </c>
      <c r="I44" s="214">
        <v>5.5652555645782424</v>
      </c>
      <c r="J44" s="214">
        <v>1.5860975188660775</v>
      </c>
      <c r="K44" s="214">
        <v>7.1513530834443202</v>
      </c>
      <c r="L44" s="214">
        <v>5.7625688395903776</v>
      </c>
      <c r="M44" s="214">
        <v>0.74904103611715234</v>
      </c>
      <c r="N44" s="214">
        <v>6.5116098757075296</v>
      </c>
      <c r="O44" s="19"/>
      <c r="P44" s="226">
        <f t="shared" si="6"/>
        <v>5.5416814310859932</v>
      </c>
      <c r="Q44" s="226">
        <f t="shared" si="7"/>
        <v>6.6402437121113955</v>
      </c>
      <c r="R44" s="144"/>
    </row>
    <row r="45" spans="2:49">
      <c r="B45" s="142">
        <f t="shared" si="3"/>
        <v>2025</v>
      </c>
      <c r="C45" s="19">
        <f t="shared" si="4"/>
        <v>2</v>
      </c>
      <c r="D45" s="143">
        <v>45689</v>
      </c>
      <c r="E45" s="19" t="str">
        <f t="shared" si="5"/>
        <v>2-2025</v>
      </c>
      <c r="F45" s="214">
        <v>5.1812338068149826</v>
      </c>
      <c r="G45" s="214">
        <v>0.96054828809297943</v>
      </c>
      <c r="H45" s="214">
        <v>6.1417820949079616</v>
      </c>
      <c r="I45" s="214">
        <v>5.4433868490813202</v>
      </c>
      <c r="J45" s="214">
        <v>1.5860975188660775</v>
      </c>
      <c r="K45" s="214">
        <v>7.0294843679473979</v>
      </c>
      <c r="L45" s="214">
        <v>5.6364322755082492</v>
      </c>
      <c r="M45" s="214">
        <v>0.74904103611715234</v>
      </c>
      <c r="N45" s="214">
        <v>6.3854733116254012</v>
      </c>
      <c r="O45" s="19"/>
      <c r="P45" s="226">
        <f t="shared" si="6"/>
        <v>5.4203509771348513</v>
      </c>
      <c r="Q45" s="226">
        <f t="shared" si="7"/>
        <v>6.5189132581602536</v>
      </c>
      <c r="R45" s="144"/>
    </row>
    <row r="46" spans="2:49">
      <c r="B46" s="142">
        <f t="shared" si="3"/>
        <v>2025</v>
      </c>
      <c r="C46" s="19">
        <f t="shared" si="4"/>
        <v>3</v>
      </c>
      <c r="D46" s="143">
        <v>45717</v>
      </c>
      <c r="E46" s="19" t="str">
        <f t="shared" si="5"/>
        <v>3-2025</v>
      </c>
      <c r="F46" s="214">
        <v>4.7565290695748601</v>
      </c>
      <c r="G46" s="214">
        <v>0.96054828809297943</v>
      </c>
      <c r="H46" s="214">
        <v>5.71707735766784</v>
      </c>
      <c r="I46" s="214">
        <v>4.9971807923738938</v>
      </c>
      <c r="J46" s="214">
        <v>1.5860975188660775</v>
      </c>
      <c r="K46" s="214">
        <v>6.5832783112399715</v>
      </c>
      <c r="L46" s="214">
        <v>5.1744504780188025</v>
      </c>
      <c r="M46" s="214">
        <v>0.74904103611715234</v>
      </c>
      <c r="N46" s="214">
        <v>5.9234915141359545</v>
      </c>
      <c r="O46" s="19"/>
      <c r="P46" s="226">
        <f t="shared" si="6"/>
        <v>4.9760534466558513</v>
      </c>
      <c r="Q46" s="226">
        <f t="shared" si="7"/>
        <v>6.0746157276812554</v>
      </c>
      <c r="R46" s="144"/>
    </row>
    <row r="47" spans="2:49">
      <c r="B47" s="142">
        <f t="shared" si="3"/>
        <v>2025</v>
      </c>
      <c r="C47" s="19">
        <f t="shared" si="4"/>
        <v>4</v>
      </c>
      <c r="D47" s="143">
        <v>45748</v>
      </c>
      <c r="E47" s="19" t="str">
        <f t="shared" si="5"/>
        <v>4-2025</v>
      </c>
      <c r="F47" s="214">
        <v>4.6757347662638322</v>
      </c>
      <c r="G47" s="214">
        <v>0.96054828809297943</v>
      </c>
      <c r="H47" s="214">
        <v>5.6362830543568112</v>
      </c>
      <c r="I47" s="214">
        <v>4.912286314027372</v>
      </c>
      <c r="J47" s="214">
        <v>1.5860975188660775</v>
      </c>
      <c r="K47" s="214">
        <v>6.4983838328934498</v>
      </c>
      <c r="L47" s="214">
        <v>5.0865922392690308</v>
      </c>
      <c r="M47" s="214">
        <v>0.74904103611715234</v>
      </c>
      <c r="N47" s="214">
        <v>5.8356332753861828</v>
      </c>
      <c r="O47" s="19"/>
      <c r="P47" s="226">
        <f t="shared" si="6"/>
        <v>4.8915377731867453</v>
      </c>
      <c r="Q47" s="226">
        <f t="shared" si="7"/>
        <v>5.9901000542121485</v>
      </c>
      <c r="R47" s="144"/>
    </row>
    <row r="48" spans="2:49">
      <c r="B48" s="142">
        <f t="shared" si="3"/>
        <v>2025</v>
      </c>
      <c r="C48" s="19">
        <f t="shared" si="4"/>
        <v>5</v>
      </c>
      <c r="D48" s="143">
        <v>45778</v>
      </c>
      <c r="E48" s="19" t="str">
        <f t="shared" si="5"/>
        <v>5-2025</v>
      </c>
      <c r="F48" s="214">
        <v>4.8386092085424082</v>
      </c>
      <c r="G48" s="214">
        <v>0.96054828809297943</v>
      </c>
      <c r="H48" s="214">
        <v>5.799157496635388</v>
      </c>
      <c r="I48" s="214">
        <v>5.0833878831512429</v>
      </c>
      <c r="J48" s="214">
        <v>1.5860975188660775</v>
      </c>
      <c r="K48" s="214">
        <v>6.6694854020173207</v>
      </c>
      <c r="L48" s="214">
        <v>5.2638145660745312</v>
      </c>
      <c r="M48" s="214">
        <v>0.74904103611715234</v>
      </c>
      <c r="N48" s="214">
        <v>6.0128556021916832</v>
      </c>
      <c r="O48" s="19"/>
      <c r="P48" s="226">
        <f t="shared" si="6"/>
        <v>5.0619372192560608</v>
      </c>
      <c r="Q48" s="226">
        <f t="shared" si="7"/>
        <v>6.160499500281464</v>
      </c>
      <c r="R48" s="144"/>
    </row>
    <row r="49" spans="2:18">
      <c r="B49" s="142">
        <f t="shared" si="3"/>
        <v>2025</v>
      </c>
      <c r="C49" s="19">
        <f t="shared" si="4"/>
        <v>6</v>
      </c>
      <c r="D49" s="143">
        <v>45809</v>
      </c>
      <c r="E49" s="19" t="str">
        <f t="shared" si="5"/>
        <v>6-2025</v>
      </c>
      <c r="F49" s="214">
        <v>4.9638467396092709</v>
      </c>
      <c r="G49" s="214">
        <v>0.96054828809297943</v>
      </c>
      <c r="H49" s="214">
        <v>5.9243950277022499</v>
      </c>
      <c r="I49" s="214">
        <v>5.2149477720900972</v>
      </c>
      <c r="J49" s="214">
        <v>1.5860975188660775</v>
      </c>
      <c r="K49" s="214">
        <v>6.8010452909561749</v>
      </c>
      <c r="L49" s="214">
        <v>5.4000946897727724</v>
      </c>
      <c r="M49" s="214">
        <v>0.74904103611715234</v>
      </c>
      <c r="N49" s="214">
        <v>6.1491357258899244</v>
      </c>
      <c r="O49" s="19"/>
      <c r="P49" s="226">
        <f t="shared" si="6"/>
        <v>5.1929630671573799</v>
      </c>
      <c r="Q49" s="226">
        <f t="shared" si="7"/>
        <v>6.2915253481827831</v>
      </c>
      <c r="R49" s="144"/>
    </row>
    <row r="50" spans="2:18">
      <c r="B50" s="142">
        <f t="shared" si="3"/>
        <v>2025</v>
      </c>
      <c r="C50" s="19">
        <f t="shared" si="4"/>
        <v>7</v>
      </c>
      <c r="D50" s="143">
        <v>45839</v>
      </c>
      <c r="E50" s="19" t="str">
        <f t="shared" si="5"/>
        <v>7-2025</v>
      </c>
      <c r="F50" s="214">
        <v>5.0033780519114748</v>
      </c>
      <c r="G50" s="214">
        <v>0.96054828809297943</v>
      </c>
      <c r="H50" s="214">
        <v>5.9639263400044538</v>
      </c>
      <c r="I50" s="214">
        <v>5.2564654697722428</v>
      </c>
      <c r="J50" s="214">
        <v>1.5860975188660775</v>
      </c>
      <c r="K50" s="214">
        <v>6.8425629886383206</v>
      </c>
      <c r="L50" s="214">
        <v>5.443137528517358</v>
      </c>
      <c r="M50" s="214">
        <v>0.74904103611715234</v>
      </c>
      <c r="N50" s="214">
        <v>6.19217856463451</v>
      </c>
      <c r="O50" s="19"/>
      <c r="P50" s="226">
        <f t="shared" si="6"/>
        <v>5.2343270167336913</v>
      </c>
      <c r="Q50" s="226">
        <f t="shared" si="7"/>
        <v>6.3328892977590954</v>
      </c>
      <c r="R50" s="144"/>
    </row>
    <row r="51" spans="2:18">
      <c r="B51" s="142">
        <f t="shared" si="3"/>
        <v>2025</v>
      </c>
      <c r="C51" s="19">
        <f t="shared" si="4"/>
        <v>8</v>
      </c>
      <c r="D51" s="143">
        <v>45870</v>
      </c>
      <c r="E51" s="19" t="str">
        <f t="shared" si="5"/>
        <v>8-2025</v>
      </c>
      <c r="F51" s="214">
        <v>4.9648813913403815</v>
      </c>
      <c r="G51" s="214">
        <v>0.96054828809297943</v>
      </c>
      <c r="H51" s="214">
        <v>5.9254296794333605</v>
      </c>
      <c r="I51" s="214">
        <v>5.2160082784543977</v>
      </c>
      <c r="J51" s="214">
        <v>1.5860975188660775</v>
      </c>
      <c r="K51" s="214">
        <v>6.8021057973204755</v>
      </c>
      <c r="L51" s="214">
        <v>5.4012943282490706</v>
      </c>
      <c r="M51" s="214">
        <v>0.74904103611715234</v>
      </c>
      <c r="N51" s="214">
        <v>6.1503353643662226</v>
      </c>
      <c r="O51" s="19"/>
      <c r="P51" s="226">
        <f t="shared" si="6"/>
        <v>5.1940613326812839</v>
      </c>
      <c r="Q51" s="226">
        <f t="shared" si="7"/>
        <v>6.2926236137066853</v>
      </c>
      <c r="R51" s="144"/>
    </row>
    <row r="52" spans="2:18">
      <c r="B52" s="142">
        <f t="shared" si="3"/>
        <v>2025</v>
      </c>
      <c r="C52" s="19">
        <f t="shared" si="4"/>
        <v>9</v>
      </c>
      <c r="D52" s="143">
        <v>45901</v>
      </c>
      <c r="E52" s="19" t="str">
        <f t="shared" si="5"/>
        <v>9-2025</v>
      </c>
      <c r="F52" s="214">
        <v>5.0348688156137236</v>
      </c>
      <c r="G52" s="214">
        <v>0.96054828809297943</v>
      </c>
      <c r="H52" s="214">
        <v>5.9954171037067034</v>
      </c>
      <c r="I52" s="214">
        <v>5.2895222823112338</v>
      </c>
      <c r="J52" s="214">
        <v>1.5860975188660775</v>
      </c>
      <c r="K52" s="214">
        <v>6.8756198011773115</v>
      </c>
      <c r="L52" s="214">
        <v>5.4774711966143554</v>
      </c>
      <c r="M52" s="214">
        <v>0.74904103611715234</v>
      </c>
      <c r="N52" s="214">
        <v>6.2265122327315074</v>
      </c>
      <c r="O52" s="19"/>
      <c r="P52" s="226">
        <f t="shared" si="6"/>
        <v>5.267287431513104</v>
      </c>
      <c r="Q52" s="226">
        <f t="shared" si="7"/>
        <v>6.3658497125385081</v>
      </c>
      <c r="R52" s="144"/>
    </row>
    <row r="53" spans="2:18">
      <c r="B53" s="142">
        <f t="shared" si="3"/>
        <v>2025</v>
      </c>
      <c r="C53" s="19">
        <f t="shared" si="4"/>
        <v>10</v>
      </c>
      <c r="D53" s="143">
        <v>45931</v>
      </c>
      <c r="E53" s="19" t="str">
        <f t="shared" si="5"/>
        <v>10-2025</v>
      </c>
      <c r="F53" s="214">
        <v>5.0060065172632777</v>
      </c>
      <c r="G53" s="214">
        <v>0.96054828809297943</v>
      </c>
      <c r="H53" s="214">
        <v>5.9665548053562567</v>
      </c>
      <c r="I53" s="214">
        <v>5.2591868347904649</v>
      </c>
      <c r="J53" s="214">
        <v>1.5860975188660775</v>
      </c>
      <c r="K53" s="214">
        <v>6.8452843536565426</v>
      </c>
      <c r="L53" s="214">
        <v>5.4461090248137687</v>
      </c>
      <c r="M53" s="214">
        <v>0.74904103611715234</v>
      </c>
      <c r="N53" s="214">
        <v>6.1951500609309207</v>
      </c>
      <c r="O53" s="19"/>
      <c r="P53" s="226">
        <f t="shared" si="6"/>
        <v>5.2371007922891701</v>
      </c>
      <c r="Q53" s="226">
        <f t="shared" si="7"/>
        <v>6.3356630733145733</v>
      </c>
      <c r="R53" s="144"/>
    </row>
    <row r="54" spans="2:18">
      <c r="B54" s="142">
        <f t="shared" si="3"/>
        <v>2025</v>
      </c>
      <c r="C54" s="19">
        <f t="shared" si="4"/>
        <v>11</v>
      </c>
      <c r="D54" s="143">
        <v>45962</v>
      </c>
      <c r="E54" s="19" t="str">
        <f t="shared" si="5"/>
        <v>11-2025</v>
      </c>
      <c r="F54" s="214">
        <v>5.2535962699079128</v>
      </c>
      <c r="G54" s="214">
        <v>0.96054828809297943</v>
      </c>
      <c r="H54" s="214">
        <v>6.2141445580008927</v>
      </c>
      <c r="I54" s="214">
        <v>5.5192845019341537</v>
      </c>
      <c r="J54" s="214">
        <v>1.5860975188660775</v>
      </c>
      <c r="K54" s="214">
        <v>7.1053820208002314</v>
      </c>
      <c r="L54" s="214">
        <v>5.7155047876765286</v>
      </c>
      <c r="M54" s="214">
        <v>0.74904103611715234</v>
      </c>
      <c r="N54" s="214">
        <v>6.4645458237936806</v>
      </c>
      <c r="O54" s="19"/>
      <c r="P54" s="226">
        <f t="shared" si="6"/>
        <v>5.4961285198395311</v>
      </c>
      <c r="Q54" s="226">
        <f t="shared" si="7"/>
        <v>6.5946908008649352</v>
      </c>
      <c r="R54" s="144"/>
    </row>
    <row r="55" spans="2:18">
      <c r="B55" s="142">
        <f t="shared" si="3"/>
        <v>2025</v>
      </c>
      <c r="C55" s="19">
        <f t="shared" si="4"/>
        <v>12</v>
      </c>
      <c r="D55" s="143">
        <v>45992</v>
      </c>
      <c r="E55" s="19" t="str">
        <f t="shared" si="5"/>
        <v>12-2025</v>
      </c>
      <c r="F55" s="214">
        <v>5.2960133756072496</v>
      </c>
      <c r="G55" s="214">
        <v>0.96054828809297943</v>
      </c>
      <c r="H55" s="214">
        <v>6.2565616637002286</v>
      </c>
      <c r="I55" s="214">
        <v>5.5638326258687254</v>
      </c>
      <c r="J55" s="214">
        <v>1.5860975188660775</v>
      </c>
      <c r="K55" s="214">
        <v>7.1499301447348032</v>
      </c>
      <c r="L55" s="214">
        <v>5.7616908067652099</v>
      </c>
      <c r="M55" s="214">
        <v>0.74904103611715234</v>
      </c>
      <c r="N55" s="214">
        <v>6.510731842882362</v>
      </c>
      <c r="O55" s="19"/>
      <c r="P55" s="226">
        <f t="shared" si="6"/>
        <v>5.5405122694137283</v>
      </c>
      <c r="Q55" s="226">
        <f t="shared" si="7"/>
        <v>6.6390745504391306</v>
      </c>
      <c r="R55" s="144"/>
    </row>
    <row r="56" spans="2:18">
      <c r="B56" s="142">
        <f t="shared" si="3"/>
        <v>2026</v>
      </c>
      <c r="C56" s="19">
        <f t="shared" si="4"/>
        <v>1</v>
      </c>
      <c r="D56" s="143">
        <v>46023</v>
      </c>
      <c r="E56" s="19" t="str">
        <f t="shared" si="5"/>
        <v>1-2026</v>
      </c>
      <c r="F56" s="214">
        <v>5.2961558906879143</v>
      </c>
      <c r="G56" s="214">
        <v>0.99897021961669874</v>
      </c>
      <c r="H56" s="214">
        <v>6.2951261103046132</v>
      </c>
      <c r="I56" s="214">
        <v>5.5639383850747679</v>
      </c>
      <c r="J56" s="214">
        <v>1.6495414196207203</v>
      </c>
      <c r="K56" s="214">
        <v>7.2134798046954884</v>
      </c>
      <c r="L56" s="214">
        <v>5.7618506943215477</v>
      </c>
      <c r="M56" s="214">
        <v>0.77900267756183827</v>
      </c>
      <c r="N56" s="214">
        <v>6.5408533718833857</v>
      </c>
      <c r="O56" s="19"/>
      <c r="P56" s="226">
        <f t="shared" si="6"/>
        <v>5.5406483233614097</v>
      </c>
      <c r="Q56" s="226">
        <f t="shared" si="7"/>
        <v>6.6831530956278291</v>
      </c>
      <c r="R56" s="144"/>
    </row>
    <row r="57" spans="2:18">
      <c r="B57" s="142">
        <f t="shared" si="3"/>
        <v>2026</v>
      </c>
      <c r="C57" s="19">
        <f t="shared" si="4"/>
        <v>2</v>
      </c>
      <c r="D57" s="143">
        <v>46054</v>
      </c>
      <c r="E57" s="19" t="str">
        <f t="shared" si="5"/>
        <v>2-2026</v>
      </c>
      <c r="F57" s="214">
        <v>5.1798742426255222</v>
      </c>
      <c r="G57" s="214">
        <v>0.99897021961669874</v>
      </c>
      <c r="H57" s="214">
        <v>6.1788444622422212</v>
      </c>
      <c r="I57" s="214">
        <v>5.4417343386127168</v>
      </c>
      <c r="J57" s="214">
        <v>1.6495414196207203</v>
      </c>
      <c r="K57" s="214">
        <v>7.0912757582334374</v>
      </c>
      <c r="L57" s="214">
        <v>5.6353490527112937</v>
      </c>
      <c r="M57" s="214">
        <v>0.77900267756183827</v>
      </c>
      <c r="N57" s="214">
        <v>6.4143517302731317</v>
      </c>
      <c r="O57" s="19"/>
      <c r="P57" s="226">
        <f t="shared" si="6"/>
        <v>5.4189858779831779</v>
      </c>
      <c r="Q57" s="226">
        <f t="shared" si="7"/>
        <v>6.5614906502495964</v>
      </c>
      <c r="R57" s="144"/>
    </row>
    <row r="58" spans="2:18">
      <c r="B58" s="142">
        <f t="shared" si="3"/>
        <v>2026</v>
      </c>
      <c r="C58" s="19">
        <f t="shared" si="4"/>
        <v>3</v>
      </c>
      <c r="D58" s="143">
        <v>46082</v>
      </c>
      <c r="E58" s="19" t="str">
        <f t="shared" si="5"/>
        <v>3-2026</v>
      </c>
      <c r="F58" s="214">
        <v>4.7549882161926016</v>
      </c>
      <c r="G58" s="214">
        <v>0.99897021961669874</v>
      </c>
      <c r="H58" s="214">
        <v>5.7539584358093006</v>
      </c>
      <c r="I58" s="214">
        <v>4.9953294097032286</v>
      </c>
      <c r="J58" s="214">
        <v>1.6495414196207203</v>
      </c>
      <c r="K58" s="214">
        <v>6.6448708293239491</v>
      </c>
      <c r="L58" s="214">
        <v>5.1731064511304599</v>
      </c>
      <c r="M58" s="214">
        <v>0.77900267756183827</v>
      </c>
      <c r="N58" s="214">
        <v>5.9521091286922978</v>
      </c>
      <c r="O58" s="19"/>
      <c r="P58" s="226">
        <f t="shared" si="6"/>
        <v>4.9744746923420964</v>
      </c>
      <c r="Q58" s="226">
        <f t="shared" si="7"/>
        <v>6.1169794646085158</v>
      </c>
      <c r="R58" s="144"/>
    </row>
    <row r="59" spans="2:18">
      <c r="B59" s="142">
        <f t="shared" si="3"/>
        <v>2026</v>
      </c>
      <c r="C59" s="19">
        <f t="shared" si="4"/>
        <v>4</v>
      </c>
      <c r="D59" s="143">
        <v>46113</v>
      </c>
      <c r="E59" s="19" t="str">
        <f t="shared" si="5"/>
        <v>4-2026</v>
      </c>
      <c r="F59" s="214">
        <v>4.6739323190418318</v>
      </c>
      <c r="G59" s="214">
        <v>0.99897021961669874</v>
      </c>
      <c r="H59" s="214">
        <v>5.6729025386585308</v>
      </c>
      <c r="I59" s="214">
        <v>4.910137721996831</v>
      </c>
      <c r="J59" s="214">
        <v>1.6495414196207203</v>
      </c>
      <c r="K59" s="214">
        <v>6.5596791416175515</v>
      </c>
      <c r="L59" s="214">
        <v>5.0849273765823186</v>
      </c>
      <c r="M59" s="214">
        <v>0.77900267756183827</v>
      </c>
      <c r="N59" s="214">
        <v>5.8639300541441566</v>
      </c>
      <c r="O59" s="19"/>
      <c r="P59" s="226">
        <f t="shared" si="6"/>
        <v>4.8896658058736611</v>
      </c>
      <c r="Q59" s="226">
        <f t="shared" si="7"/>
        <v>6.0321705781400796</v>
      </c>
      <c r="R59" s="144"/>
    </row>
    <row r="60" spans="2:18">
      <c r="B60" s="142">
        <f t="shared" si="3"/>
        <v>2026</v>
      </c>
      <c r="C60" s="19">
        <f t="shared" si="4"/>
        <v>5</v>
      </c>
      <c r="D60" s="143">
        <v>46143</v>
      </c>
      <c r="E60" s="19" t="str">
        <f t="shared" si="5"/>
        <v>5-2026</v>
      </c>
      <c r="F60" s="214">
        <v>4.8364461771948566</v>
      </c>
      <c r="G60" s="214">
        <v>0.99897021961669874</v>
      </c>
      <c r="H60" s="214">
        <v>5.8354163968115556</v>
      </c>
      <c r="I60" s="214">
        <v>5.0808243338806758</v>
      </c>
      <c r="J60" s="214">
        <v>1.6495414196207203</v>
      </c>
      <c r="K60" s="214">
        <v>6.7303657535013963</v>
      </c>
      <c r="L60" s="214">
        <v>5.2617360646948095</v>
      </c>
      <c r="M60" s="214">
        <v>0.77900267756183827</v>
      </c>
      <c r="N60" s="214">
        <v>6.0407387422566474</v>
      </c>
      <c r="O60" s="19"/>
      <c r="P60" s="226">
        <f t="shared" si="6"/>
        <v>5.0596688585901139</v>
      </c>
      <c r="Q60" s="226">
        <f t="shared" si="7"/>
        <v>6.2021736308565325</v>
      </c>
      <c r="R60" s="144"/>
    </row>
    <row r="61" spans="2:18">
      <c r="B61" s="142">
        <f t="shared" si="3"/>
        <v>2026</v>
      </c>
      <c r="C61" s="19">
        <f t="shared" si="4"/>
        <v>6</v>
      </c>
      <c r="D61" s="143">
        <v>46174</v>
      </c>
      <c r="E61" s="19" t="str">
        <f t="shared" si="5"/>
        <v>6-2026</v>
      </c>
      <c r="F61" s="214">
        <v>4.9613222099073191</v>
      </c>
      <c r="G61" s="214">
        <v>0.99897021961669874</v>
      </c>
      <c r="H61" s="214">
        <v>5.9602924295240181</v>
      </c>
      <c r="I61" s="214">
        <v>5.2119689461029015</v>
      </c>
      <c r="J61" s="214">
        <v>1.6495414196207203</v>
      </c>
      <c r="K61" s="214">
        <v>6.8615103657236221</v>
      </c>
      <c r="L61" s="214">
        <v>5.397597532105876</v>
      </c>
      <c r="M61" s="214">
        <v>0.77900267756183827</v>
      </c>
      <c r="N61" s="214">
        <v>6.1766002096677139</v>
      </c>
      <c r="O61" s="19"/>
      <c r="P61" s="226">
        <f t="shared" si="6"/>
        <v>5.1902962293720316</v>
      </c>
      <c r="Q61" s="226">
        <f t="shared" si="7"/>
        <v>6.3328010016384511</v>
      </c>
      <c r="R61" s="144"/>
    </row>
    <row r="62" spans="2:18">
      <c r="B62" s="142">
        <f t="shared" si="3"/>
        <v>2026</v>
      </c>
      <c r="C62" s="19">
        <f t="shared" si="4"/>
        <v>7</v>
      </c>
      <c r="D62" s="143">
        <v>46204</v>
      </c>
      <c r="E62" s="19" t="str">
        <f t="shared" si="5"/>
        <v>7-2026</v>
      </c>
      <c r="F62" s="214">
        <v>5.0005254643364259</v>
      </c>
      <c r="G62" s="214">
        <v>0.99897021961669874</v>
      </c>
      <c r="H62" s="214">
        <v>5.9994956839531248</v>
      </c>
      <c r="I62" s="214">
        <v>5.2531112094527206</v>
      </c>
      <c r="J62" s="214">
        <v>1.6495414196207203</v>
      </c>
      <c r="K62" s="214">
        <v>6.9026526290734411</v>
      </c>
      <c r="L62" s="214">
        <v>5.4402527111353844</v>
      </c>
      <c r="M62" s="214">
        <v>0.77900267756183827</v>
      </c>
      <c r="N62" s="214">
        <v>6.2192553886972224</v>
      </c>
      <c r="O62" s="19"/>
      <c r="P62" s="226">
        <f t="shared" si="6"/>
        <v>5.2312964616415103</v>
      </c>
      <c r="Q62" s="226">
        <f t="shared" si="7"/>
        <v>6.3738012339079289</v>
      </c>
      <c r="R62" s="144"/>
    </row>
    <row r="63" spans="2:18">
      <c r="B63" s="142">
        <f t="shared" si="3"/>
        <v>2026</v>
      </c>
      <c r="C63" s="19">
        <f t="shared" si="4"/>
        <v>8</v>
      </c>
      <c r="D63" s="143">
        <v>46235</v>
      </c>
      <c r="E63" s="19" t="str">
        <f t="shared" si="5"/>
        <v>8-2026</v>
      </c>
      <c r="F63" s="214">
        <v>4.9617451613839814</v>
      </c>
      <c r="G63" s="214">
        <v>0.99897021961669874</v>
      </c>
      <c r="H63" s="214">
        <v>5.9607153810006803</v>
      </c>
      <c r="I63" s="214">
        <v>5.2123308128528461</v>
      </c>
      <c r="J63" s="214">
        <v>1.6495414196207203</v>
      </c>
      <c r="K63" s="214">
        <v>6.8618722324735666</v>
      </c>
      <c r="L63" s="214">
        <v>5.3980667555208548</v>
      </c>
      <c r="M63" s="214">
        <v>0.77900267756183827</v>
      </c>
      <c r="N63" s="214">
        <v>6.1770694330826927</v>
      </c>
      <c r="O63" s="19"/>
      <c r="P63" s="226">
        <f t="shared" si="6"/>
        <v>5.190714243252561</v>
      </c>
      <c r="Q63" s="226">
        <f t="shared" si="7"/>
        <v>6.3332190155189805</v>
      </c>
      <c r="R63" s="144"/>
    </row>
    <row r="64" spans="2:18">
      <c r="B64" s="142">
        <f t="shared" si="3"/>
        <v>2026</v>
      </c>
      <c r="C64" s="19">
        <f t="shared" si="4"/>
        <v>9</v>
      </c>
      <c r="D64" s="143">
        <v>46266</v>
      </c>
      <c r="E64" s="19" t="str">
        <f t="shared" si="5"/>
        <v>9-2026</v>
      </c>
      <c r="F64" s="214">
        <v>5.0313784702838404</v>
      </c>
      <c r="G64" s="214">
        <v>0.99897021961669874</v>
      </c>
      <c r="H64" s="214">
        <v>6.0303486899005394</v>
      </c>
      <c r="I64" s="214">
        <v>5.2854390358404517</v>
      </c>
      <c r="J64" s="214">
        <v>1.6495414196207203</v>
      </c>
      <c r="K64" s="214">
        <v>6.9349804554611723</v>
      </c>
      <c r="L64" s="214">
        <v>5.4738280217752342</v>
      </c>
      <c r="M64" s="214">
        <v>0.77900267756183827</v>
      </c>
      <c r="N64" s="214">
        <v>6.2528306993370721</v>
      </c>
      <c r="O64" s="19"/>
      <c r="P64" s="226">
        <f t="shared" si="6"/>
        <v>5.2635485092998415</v>
      </c>
      <c r="Q64" s="226">
        <f t="shared" si="7"/>
        <v>6.406053281566261</v>
      </c>
      <c r="R64" s="144"/>
    </row>
    <row r="65" spans="2:18">
      <c r="B65" s="142">
        <f t="shared" si="3"/>
        <v>2026</v>
      </c>
      <c r="C65" s="19">
        <f t="shared" si="4"/>
        <v>10</v>
      </c>
      <c r="D65" s="143">
        <v>46296</v>
      </c>
      <c r="E65" s="19" t="str">
        <f t="shared" si="5"/>
        <v>10-2026</v>
      </c>
      <c r="F65" s="214">
        <v>5.002228044125606</v>
      </c>
      <c r="G65" s="214">
        <v>0.99897021961669874</v>
      </c>
      <c r="H65" s="214">
        <v>6.0011982637423049</v>
      </c>
      <c r="I65" s="214">
        <v>5.2547750747557576</v>
      </c>
      <c r="J65" s="214">
        <v>1.6495414196207203</v>
      </c>
      <c r="K65" s="214">
        <v>6.9043164943764781</v>
      </c>
      <c r="L65" s="214">
        <v>5.4421187428353264</v>
      </c>
      <c r="M65" s="214">
        <v>0.77900267756183827</v>
      </c>
      <c r="N65" s="214">
        <v>6.2211214203971643</v>
      </c>
      <c r="O65" s="19"/>
      <c r="P65" s="226">
        <f t="shared" si="6"/>
        <v>5.23304062057223</v>
      </c>
      <c r="Q65" s="226">
        <f t="shared" si="7"/>
        <v>6.3755453928386494</v>
      </c>
      <c r="R65" s="144"/>
    </row>
    <row r="66" spans="2:18">
      <c r="B66" s="142">
        <f t="shared" si="3"/>
        <v>2026</v>
      </c>
      <c r="C66" s="19">
        <f t="shared" si="4"/>
        <v>11</v>
      </c>
      <c r="D66" s="143">
        <v>46327</v>
      </c>
      <c r="E66" s="19" t="str">
        <f t="shared" si="5"/>
        <v>11-2026</v>
      </c>
      <c r="F66" s="214">
        <v>5.2493075353966052</v>
      </c>
      <c r="G66" s="214">
        <v>0.99897021961669874</v>
      </c>
      <c r="H66" s="214">
        <v>6.2482777550133042</v>
      </c>
      <c r="I66" s="214">
        <v>5.5142852079445541</v>
      </c>
      <c r="J66" s="214">
        <v>1.6495414196207203</v>
      </c>
      <c r="K66" s="214">
        <v>7.1638266275652747</v>
      </c>
      <c r="L66" s="214">
        <v>5.7109309513248672</v>
      </c>
      <c r="M66" s="214">
        <v>0.77900267756183827</v>
      </c>
      <c r="N66" s="214">
        <v>6.4899336288867051</v>
      </c>
      <c r="O66" s="19"/>
      <c r="P66" s="226">
        <f t="shared" si="6"/>
        <v>5.4915078982220082</v>
      </c>
      <c r="Q66" s="226">
        <f t="shared" si="7"/>
        <v>6.6340126704884286</v>
      </c>
      <c r="R66" s="144"/>
    </row>
    <row r="67" spans="2:18">
      <c r="B67" s="142">
        <f t="shared" si="3"/>
        <v>2026</v>
      </c>
      <c r="C67" s="19">
        <f t="shared" si="4"/>
        <v>12</v>
      </c>
      <c r="D67" s="143">
        <v>46357</v>
      </c>
      <c r="E67" s="19" t="str">
        <f t="shared" si="5"/>
        <v>12-2026</v>
      </c>
      <c r="F67" s="214">
        <v>5.2913640120368903</v>
      </c>
      <c r="G67" s="214">
        <v>0.99897021961669874</v>
      </c>
      <c r="H67" s="214">
        <v>6.2903342316535893</v>
      </c>
      <c r="I67" s="214">
        <v>5.5584206426010381</v>
      </c>
      <c r="J67" s="214">
        <v>1.6495414196207203</v>
      </c>
      <c r="K67" s="214">
        <v>7.2079620622217586</v>
      </c>
      <c r="L67" s="214">
        <v>5.7566907135692862</v>
      </c>
      <c r="M67" s="214">
        <v>0.77900267756183827</v>
      </c>
      <c r="N67" s="214">
        <v>6.5356933911311241</v>
      </c>
      <c r="O67" s="19"/>
      <c r="P67" s="226">
        <f t="shared" si="6"/>
        <v>5.5354917894024043</v>
      </c>
      <c r="Q67" s="226">
        <f t="shared" si="7"/>
        <v>6.6779965616688246</v>
      </c>
      <c r="R67" s="144"/>
    </row>
    <row r="68" spans="2:18">
      <c r="B68" s="142">
        <f t="shared" si="3"/>
        <v>2027</v>
      </c>
      <c r="C68" s="19">
        <f t="shared" si="4"/>
        <v>1</v>
      </c>
      <c r="D68" s="143">
        <v>46388</v>
      </c>
      <c r="E68" s="19" t="str">
        <f t="shared" si="5"/>
        <v>1-2027</v>
      </c>
      <c r="F68" s="214">
        <v>5.2914635394550897</v>
      </c>
      <c r="G68" s="214">
        <v>1.0389290284013668</v>
      </c>
      <c r="H68" s="214">
        <v>6.3303925678564568</v>
      </c>
      <c r="I68" s="214">
        <v>5.5584521520217471</v>
      </c>
      <c r="J68" s="214">
        <v>1.7155230764055491</v>
      </c>
      <c r="K68" s="214">
        <v>7.2739752284272967</v>
      </c>
      <c r="L68" s="214">
        <v>5.7567724830958573</v>
      </c>
      <c r="M68" s="214">
        <v>0.81016278466431191</v>
      </c>
      <c r="N68" s="214">
        <v>6.5669352677601696</v>
      </c>
      <c r="O68" s="19"/>
      <c r="P68" s="226">
        <f t="shared" si="6"/>
        <v>5.5355627248575656</v>
      </c>
      <c r="Q68" s="226">
        <f t="shared" si="7"/>
        <v>6.7237676880146404</v>
      </c>
      <c r="R68" s="144"/>
    </row>
    <row r="69" spans="2:18">
      <c r="B69" s="142">
        <f t="shared" si="3"/>
        <v>2027</v>
      </c>
      <c r="C69" s="19">
        <f t="shared" si="4"/>
        <v>2</v>
      </c>
      <c r="D69" s="143">
        <v>46419</v>
      </c>
      <c r="E69" s="19" t="str">
        <f t="shared" si="5"/>
        <v>2-2027</v>
      </c>
      <c r="F69" s="214">
        <v>5.1752429883919691</v>
      </c>
      <c r="G69" s="214">
        <v>1.0389290284013668</v>
      </c>
      <c r="H69" s="214">
        <v>6.2141720167933361</v>
      </c>
      <c r="I69" s="214">
        <v>5.4362960727795313</v>
      </c>
      <c r="J69" s="214">
        <v>1.7155230764055491</v>
      </c>
      <c r="K69" s="214">
        <v>7.15181914918508</v>
      </c>
      <c r="L69" s="214">
        <v>5.6303060555264395</v>
      </c>
      <c r="M69" s="214">
        <v>0.81016278466431191</v>
      </c>
      <c r="N69" s="214">
        <v>6.4404688401907517</v>
      </c>
      <c r="O69" s="19"/>
      <c r="P69" s="226">
        <f t="shared" si="6"/>
        <v>5.413948372232646</v>
      </c>
      <c r="Q69" s="226">
        <f t="shared" si="7"/>
        <v>6.6021533353897226</v>
      </c>
      <c r="R69" s="144"/>
    </row>
    <row r="70" spans="2:18">
      <c r="B70" s="142">
        <f t="shared" si="3"/>
        <v>2027</v>
      </c>
      <c r="C70" s="19">
        <f t="shared" si="4"/>
        <v>3</v>
      </c>
      <c r="D70" s="143">
        <v>46447</v>
      </c>
      <c r="E70" s="19" t="str">
        <f t="shared" si="5"/>
        <v>3-2027</v>
      </c>
      <c r="F70" s="214">
        <v>4.7506983526392865</v>
      </c>
      <c r="G70" s="214">
        <v>1.0389290284013668</v>
      </c>
      <c r="H70" s="214">
        <v>5.7896273810406536</v>
      </c>
      <c r="I70" s="214">
        <v>4.9902706732364592</v>
      </c>
      <c r="J70" s="214">
        <v>1.7155230764055491</v>
      </c>
      <c r="K70" s="214">
        <v>6.7057937496420088</v>
      </c>
      <c r="L70" s="214">
        <v>5.1684070769257442</v>
      </c>
      <c r="M70" s="214">
        <v>0.81016278466431191</v>
      </c>
      <c r="N70" s="214">
        <v>5.9785698615900564</v>
      </c>
      <c r="O70" s="19"/>
      <c r="P70" s="226">
        <f t="shared" si="6"/>
        <v>4.9697920342671633</v>
      </c>
      <c r="Q70" s="226">
        <f t="shared" si="7"/>
        <v>6.157996997424239</v>
      </c>
      <c r="R70" s="144"/>
    </row>
    <row r="71" spans="2:18">
      <c r="B71" s="142">
        <f t="shared" si="3"/>
        <v>2027</v>
      </c>
      <c r="C71" s="19">
        <f t="shared" si="4"/>
        <v>4</v>
      </c>
      <c r="D71" s="143">
        <v>46478</v>
      </c>
      <c r="E71" s="19" t="str">
        <f t="shared" si="5"/>
        <v>4-2027</v>
      </c>
      <c r="F71" s="214">
        <v>4.6696777392247881</v>
      </c>
      <c r="G71" s="214">
        <v>1.0389290284013668</v>
      </c>
      <c r="H71" s="214">
        <v>5.7086067676261552</v>
      </c>
      <c r="I71" s="214">
        <v>4.9050997925964728</v>
      </c>
      <c r="J71" s="214">
        <v>1.7155230764055491</v>
      </c>
      <c r="K71" s="214">
        <v>6.6206228690020215</v>
      </c>
      <c r="L71" s="214">
        <v>5.080239258510594</v>
      </c>
      <c r="M71" s="214">
        <v>0.81016278466431191</v>
      </c>
      <c r="N71" s="214">
        <v>5.8904020431749062</v>
      </c>
      <c r="O71" s="19"/>
      <c r="P71" s="226">
        <f t="shared" si="6"/>
        <v>4.8850055967772859</v>
      </c>
      <c r="Q71" s="226">
        <f t="shared" si="7"/>
        <v>6.0732105599343607</v>
      </c>
      <c r="R71" s="144"/>
    </row>
    <row r="72" spans="2:18">
      <c r="B72" s="142">
        <f t="shared" si="3"/>
        <v>2027</v>
      </c>
      <c r="C72" s="19">
        <f t="shared" si="4"/>
        <v>5</v>
      </c>
      <c r="D72" s="143">
        <v>46508</v>
      </c>
      <c r="E72" s="19" t="str">
        <f t="shared" si="5"/>
        <v>5-2027</v>
      </c>
      <c r="F72" s="214">
        <v>4.832004499545179</v>
      </c>
      <c r="G72" s="214">
        <v>1.0389290284013668</v>
      </c>
      <c r="H72" s="214">
        <v>5.870933527946546</v>
      </c>
      <c r="I72" s="214">
        <v>5.0755435228608601</v>
      </c>
      <c r="J72" s="214">
        <v>1.7155230764055491</v>
      </c>
      <c r="K72" s="214">
        <v>6.7910665992664097</v>
      </c>
      <c r="L72" s="214">
        <v>5.2568136833611705</v>
      </c>
      <c r="M72" s="214">
        <v>0.81016278466431191</v>
      </c>
      <c r="N72" s="214">
        <v>6.0669764680254827</v>
      </c>
      <c r="O72" s="19"/>
      <c r="P72" s="226">
        <f t="shared" si="6"/>
        <v>5.0547872352557368</v>
      </c>
      <c r="Q72" s="226">
        <f t="shared" si="7"/>
        <v>6.2429921984128134</v>
      </c>
      <c r="R72" s="144"/>
    </row>
    <row r="73" spans="2:18">
      <c r="B73" s="142">
        <f t="shared" ref="B73:B136" si="12">YEAR(D73)</f>
        <v>2027</v>
      </c>
      <c r="C73" s="19">
        <f t="shared" ref="C73:C136" si="13">MONTH(D73)</f>
        <v>6</v>
      </c>
      <c r="D73" s="143">
        <v>46539</v>
      </c>
      <c r="E73" s="19" t="str">
        <f t="shared" ref="E73:E136" si="14">C73&amp;"-"&amp;B73</f>
        <v>6-2027</v>
      </c>
      <c r="F73" s="214">
        <v>4.956725666982182</v>
      </c>
      <c r="G73" s="214">
        <v>1.0389290284013668</v>
      </c>
      <c r="H73" s="214">
        <v>5.995654695383549</v>
      </c>
      <c r="I73" s="214">
        <v>5.2064823156917672</v>
      </c>
      <c r="J73" s="214">
        <v>1.7155230764055491</v>
      </c>
      <c r="K73" s="214">
        <v>6.9220053920973168</v>
      </c>
      <c r="L73" s="214">
        <v>5.3924749492312021</v>
      </c>
      <c r="M73" s="214">
        <v>0.81016278466431191</v>
      </c>
      <c r="N73" s="214">
        <v>6.2026377338955143</v>
      </c>
      <c r="O73" s="19"/>
      <c r="P73" s="226">
        <f t="shared" ref="P73:P136" si="15">AVERAGE(F73,I73,L73)</f>
        <v>5.1852276439683838</v>
      </c>
      <c r="Q73" s="226">
        <f t="shared" ref="Q73:Q136" si="16">AVERAGE(H73,K73,N73)</f>
        <v>6.3734326071254594</v>
      </c>
      <c r="R73" s="144"/>
    </row>
    <row r="74" spans="2:18">
      <c r="B74" s="142">
        <f t="shared" si="12"/>
        <v>2027</v>
      </c>
      <c r="C74" s="19">
        <f t="shared" si="13"/>
        <v>7</v>
      </c>
      <c r="D74" s="143">
        <v>46569</v>
      </c>
      <c r="E74" s="19" t="str">
        <f t="shared" si="14"/>
        <v>7-2027</v>
      </c>
      <c r="F74" s="214">
        <v>4.9958520950383969</v>
      </c>
      <c r="G74" s="214">
        <v>1.0389290284013668</v>
      </c>
      <c r="H74" s="214">
        <v>6.0347811234397639</v>
      </c>
      <c r="I74" s="214">
        <v>5.2475111957826011</v>
      </c>
      <c r="J74" s="214">
        <v>1.7155230764055491</v>
      </c>
      <c r="K74" s="214">
        <v>6.9630342721881497</v>
      </c>
      <c r="L74" s="214">
        <v>5.4350159556208828</v>
      </c>
      <c r="M74" s="214">
        <v>0.81016278466431191</v>
      </c>
      <c r="N74" s="214">
        <v>6.245178740285195</v>
      </c>
      <c r="O74" s="19"/>
      <c r="P74" s="226">
        <f t="shared" si="15"/>
        <v>5.2261264154806275</v>
      </c>
      <c r="Q74" s="226">
        <f t="shared" si="16"/>
        <v>6.4143313786377023</v>
      </c>
      <c r="R74" s="144"/>
    </row>
    <row r="75" spans="2:18">
      <c r="B75" s="142">
        <f t="shared" si="12"/>
        <v>2027</v>
      </c>
      <c r="C75" s="19">
        <f t="shared" si="13"/>
        <v>8</v>
      </c>
      <c r="D75" s="143">
        <v>46600</v>
      </c>
      <c r="E75" s="19" t="str">
        <f t="shared" si="14"/>
        <v>8-2027</v>
      </c>
      <c r="F75" s="214">
        <v>4.9570678379361777</v>
      </c>
      <c r="G75" s="214">
        <v>1.0389290284013668</v>
      </c>
      <c r="H75" s="214">
        <v>5.9959968663375447</v>
      </c>
      <c r="I75" s="214">
        <v>5.2067047324471138</v>
      </c>
      <c r="J75" s="214">
        <v>1.7155230764055491</v>
      </c>
      <c r="K75" s="214">
        <v>6.9222278088526625</v>
      </c>
      <c r="L75" s="214">
        <v>5.3927974780099852</v>
      </c>
      <c r="M75" s="214">
        <v>0.81016278466431191</v>
      </c>
      <c r="N75" s="214">
        <v>6.2029602626742975</v>
      </c>
      <c r="O75" s="19"/>
      <c r="P75" s="226">
        <f t="shared" si="15"/>
        <v>5.1855233494644253</v>
      </c>
      <c r="Q75" s="226">
        <f t="shared" si="16"/>
        <v>6.3737283126215019</v>
      </c>
      <c r="R75" s="144"/>
    </row>
    <row r="76" spans="2:18">
      <c r="B76" s="142">
        <f t="shared" si="12"/>
        <v>2027</v>
      </c>
      <c r="C76" s="19">
        <f t="shared" si="13"/>
        <v>9</v>
      </c>
      <c r="D76" s="143">
        <v>46631</v>
      </c>
      <c r="E76" s="19" t="str">
        <f t="shared" si="14"/>
        <v>9-2027</v>
      </c>
      <c r="F76" s="214">
        <v>5.0265947377373035</v>
      </c>
      <c r="G76" s="214">
        <v>1.0389290284013668</v>
      </c>
      <c r="H76" s="214">
        <v>6.0655237661386705</v>
      </c>
      <c r="I76" s="214">
        <v>5.2796635169741162</v>
      </c>
      <c r="J76" s="214">
        <v>1.7155230764055491</v>
      </c>
      <c r="K76" s="214">
        <v>6.9951865933796658</v>
      </c>
      <c r="L76" s="214">
        <v>5.4684106234863528</v>
      </c>
      <c r="M76" s="214">
        <v>0.81016278466431191</v>
      </c>
      <c r="N76" s="214">
        <v>6.278573408150665</v>
      </c>
      <c r="O76" s="19"/>
      <c r="P76" s="226">
        <f t="shared" si="15"/>
        <v>5.2582229593992578</v>
      </c>
      <c r="Q76" s="226">
        <f t="shared" si="16"/>
        <v>6.4464279225563343</v>
      </c>
      <c r="R76" s="144"/>
    </row>
    <row r="77" spans="2:18">
      <c r="B77" s="142">
        <f t="shared" si="12"/>
        <v>2027</v>
      </c>
      <c r="C77" s="19">
        <f t="shared" si="13"/>
        <v>10</v>
      </c>
      <c r="D77" s="143">
        <v>46661</v>
      </c>
      <c r="E77" s="19" t="str">
        <f t="shared" si="14"/>
        <v>10-2027</v>
      </c>
      <c r="F77" s="214">
        <v>4.9974314900986379</v>
      </c>
      <c r="G77" s="214">
        <v>1.0389290284013668</v>
      </c>
      <c r="H77" s="214">
        <v>6.0363605185000049</v>
      </c>
      <c r="I77" s="214">
        <v>5.2489629339057515</v>
      </c>
      <c r="J77" s="214">
        <v>1.7155230764055491</v>
      </c>
      <c r="K77" s="214">
        <v>6.9644860103113011</v>
      </c>
      <c r="L77" s="214">
        <v>5.4366589788484321</v>
      </c>
      <c r="M77" s="214">
        <v>0.81016278466431191</v>
      </c>
      <c r="N77" s="214">
        <v>6.2468217635127443</v>
      </c>
      <c r="O77" s="19"/>
      <c r="P77" s="226">
        <f t="shared" si="15"/>
        <v>5.2276844676176069</v>
      </c>
      <c r="Q77" s="226">
        <f t="shared" si="16"/>
        <v>6.4158894307746834</v>
      </c>
      <c r="R77" s="144"/>
    </row>
    <row r="78" spans="2:18">
      <c r="B78" s="142">
        <f t="shared" si="12"/>
        <v>2027</v>
      </c>
      <c r="C78" s="19">
        <f t="shared" si="13"/>
        <v>11</v>
      </c>
      <c r="D78" s="143">
        <v>46692</v>
      </c>
      <c r="E78" s="19" t="str">
        <f t="shared" si="14"/>
        <v>11-2027</v>
      </c>
      <c r="F78" s="214">
        <v>5.2442315152887522</v>
      </c>
      <c r="G78" s="214">
        <v>1.0389290284013668</v>
      </c>
      <c r="H78" s="214">
        <v>6.2831605436901192</v>
      </c>
      <c r="I78" s="214">
        <v>5.508112426627136</v>
      </c>
      <c r="J78" s="214">
        <v>1.7155230764055491</v>
      </c>
      <c r="K78" s="214">
        <v>7.2236355030326855</v>
      </c>
      <c r="L78" s="214">
        <v>5.7051241014887015</v>
      </c>
      <c r="M78" s="214">
        <v>0.81016278466431191</v>
      </c>
      <c r="N78" s="214">
        <v>6.5152868861530138</v>
      </c>
      <c r="O78" s="19"/>
      <c r="P78" s="226">
        <f t="shared" si="15"/>
        <v>5.4858226811348629</v>
      </c>
      <c r="Q78" s="226">
        <f t="shared" si="16"/>
        <v>6.6740276442919395</v>
      </c>
      <c r="R78" s="144"/>
    </row>
    <row r="79" spans="2:18">
      <c r="B79" s="142">
        <f t="shared" si="12"/>
        <v>2027</v>
      </c>
      <c r="C79" s="19">
        <f t="shared" si="13"/>
        <v>12</v>
      </c>
      <c r="D79" s="143">
        <v>46722</v>
      </c>
      <c r="E79" s="19" t="str">
        <f t="shared" si="14"/>
        <v>12-2027</v>
      </c>
      <c r="F79" s="214">
        <v>5.2862044310219201</v>
      </c>
      <c r="G79" s="214">
        <v>1.0389290284013668</v>
      </c>
      <c r="H79" s="214">
        <v>6.3251334594232871</v>
      </c>
      <c r="I79" s="214">
        <v>5.5521242496956971</v>
      </c>
      <c r="J79" s="214">
        <v>1.7155230764055491</v>
      </c>
      <c r="K79" s="214">
        <v>7.2676473261012458</v>
      </c>
      <c r="L79" s="214">
        <v>5.7507593018560232</v>
      </c>
      <c r="M79" s="214">
        <v>0.81016278466431191</v>
      </c>
      <c r="N79" s="214">
        <v>6.5609220865203355</v>
      </c>
      <c r="O79" s="19"/>
      <c r="P79" s="226">
        <f t="shared" si="15"/>
        <v>5.5296959941912123</v>
      </c>
      <c r="Q79" s="226">
        <f t="shared" si="16"/>
        <v>6.7179009573482888</v>
      </c>
      <c r="R79" s="144"/>
    </row>
    <row r="80" spans="2:18">
      <c r="B80" s="142">
        <f t="shared" si="12"/>
        <v>2028</v>
      </c>
      <c r="C80" s="19">
        <f t="shared" si="13"/>
        <v>1</v>
      </c>
      <c r="D80" s="143">
        <v>46753</v>
      </c>
      <c r="E80" s="19" t="str">
        <f t="shared" si="14"/>
        <v>1-2028</v>
      </c>
      <c r="F80" s="214">
        <v>5.2863898695462419</v>
      </c>
      <c r="G80" s="214">
        <v>1.0804861895374214</v>
      </c>
      <c r="H80" s="214">
        <v>6.3668760590836637</v>
      </c>
      <c r="I80" s="214">
        <v>5.552295305649884</v>
      </c>
      <c r="J80" s="214">
        <v>1.7841439994617716</v>
      </c>
      <c r="K80" s="214">
        <v>7.3364393051116554</v>
      </c>
      <c r="L80" s="214">
        <v>5.7509946570368893</v>
      </c>
      <c r="M80" s="214">
        <v>0.84256929605088438</v>
      </c>
      <c r="N80" s="214">
        <v>6.5935639530877737</v>
      </c>
      <c r="O80" s="19"/>
      <c r="P80" s="226">
        <f t="shared" si="15"/>
        <v>5.5298932774110057</v>
      </c>
      <c r="Q80" s="226">
        <f t="shared" si="16"/>
        <v>6.7656264390943646</v>
      </c>
      <c r="R80" s="144"/>
    </row>
    <row r="81" spans="2:18">
      <c r="B81" s="142">
        <f t="shared" si="12"/>
        <v>2028</v>
      </c>
      <c r="C81" s="19">
        <f t="shared" si="13"/>
        <v>2</v>
      </c>
      <c r="D81" s="143">
        <v>46784</v>
      </c>
      <c r="E81" s="19" t="str">
        <f t="shared" si="14"/>
        <v>2-2028</v>
      </c>
      <c r="F81" s="214">
        <v>5.1703648882257145</v>
      </c>
      <c r="G81" s="214">
        <v>1.0804861895374214</v>
      </c>
      <c r="H81" s="214">
        <v>6.2508510777631354</v>
      </c>
      <c r="I81" s="214">
        <v>5.4304110736354216</v>
      </c>
      <c r="J81" s="214">
        <v>1.7841439994617716</v>
      </c>
      <c r="K81" s="214">
        <v>7.214555073097193</v>
      </c>
      <c r="L81" s="214">
        <v>5.6248054782608099</v>
      </c>
      <c r="M81" s="214">
        <v>0.84256929605088438</v>
      </c>
      <c r="N81" s="214">
        <v>6.4673747743116943</v>
      </c>
      <c r="O81" s="19"/>
      <c r="P81" s="226">
        <f t="shared" si="15"/>
        <v>5.408527146707315</v>
      </c>
      <c r="Q81" s="226">
        <f t="shared" si="16"/>
        <v>6.6442603083906739</v>
      </c>
      <c r="R81" s="144"/>
    </row>
    <row r="82" spans="2:18">
      <c r="B82" s="142">
        <f t="shared" si="12"/>
        <v>2028</v>
      </c>
      <c r="C82" s="19">
        <f t="shared" si="13"/>
        <v>3</v>
      </c>
      <c r="D82" s="143">
        <v>46813</v>
      </c>
      <c r="E82" s="19" t="str">
        <f t="shared" si="14"/>
        <v>3-2028</v>
      </c>
      <c r="F82" s="214">
        <v>4.7462976649569697</v>
      </c>
      <c r="G82" s="214">
        <v>1.0804861895374214</v>
      </c>
      <c r="H82" s="214">
        <v>5.8267838544943906</v>
      </c>
      <c r="I82" s="214">
        <v>4.9849938752577412</v>
      </c>
      <c r="J82" s="214">
        <v>1.7841439994617716</v>
      </c>
      <c r="K82" s="214">
        <v>6.7691378747195126</v>
      </c>
      <c r="L82" s="214">
        <v>5.1634957675683477</v>
      </c>
      <c r="M82" s="214">
        <v>0.84256929605088438</v>
      </c>
      <c r="N82" s="214">
        <v>6.0060650636192321</v>
      </c>
      <c r="O82" s="19"/>
      <c r="P82" s="226">
        <f t="shared" si="15"/>
        <v>4.9649291025943532</v>
      </c>
      <c r="Q82" s="226">
        <f t="shared" si="16"/>
        <v>6.2006622642777112</v>
      </c>
      <c r="R82" s="144"/>
    </row>
    <row r="83" spans="2:18">
      <c r="B83" s="142">
        <f t="shared" si="12"/>
        <v>2028</v>
      </c>
      <c r="C83" s="19">
        <f t="shared" si="13"/>
        <v>4</v>
      </c>
      <c r="D83" s="143">
        <v>46844</v>
      </c>
      <c r="E83" s="19" t="str">
        <f t="shared" si="14"/>
        <v>4-2028</v>
      </c>
      <c r="F83" s="214">
        <v>4.6654280414975791</v>
      </c>
      <c r="G83" s="214">
        <v>1.0804861895374214</v>
      </c>
      <c r="H83" s="214">
        <v>5.745914231035</v>
      </c>
      <c r="I83" s="214">
        <v>4.9000363010009895</v>
      </c>
      <c r="J83" s="214">
        <v>1.7841439994617716</v>
      </c>
      <c r="K83" s="214">
        <v>6.6841803004627609</v>
      </c>
      <c r="L83" s="214">
        <v>5.0755474117265793</v>
      </c>
      <c r="M83" s="214">
        <v>0.84256929605088438</v>
      </c>
      <c r="N83" s="214">
        <v>5.9181167077774637</v>
      </c>
      <c r="O83" s="19"/>
      <c r="P83" s="226">
        <f t="shared" si="15"/>
        <v>4.880337251408382</v>
      </c>
      <c r="Q83" s="226">
        <f t="shared" si="16"/>
        <v>6.1160704130917418</v>
      </c>
      <c r="R83" s="144"/>
    </row>
    <row r="84" spans="2:18">
      <c r="B84" s="142">
        <f t="shared" si="12"/>
        <v>2028</v>
      </c>
      <c r="C84" s="19">
        <f t="shared" si="13"/>
        <v>5</v>
      </c>
      <c r="D84" s="143">
        <v>46874</v>
      </c>
      <c r="E84" s="19" t="str">
        <f t="shared" si="14"/>
        <v>5-2028</v>
      </c>
      <c r="F84" s="214">
        <v>4.8276856654800859</v>
      </c>
      <c r="G84" s="214">
        <v>1.0804861895374214</v>
      </c>
      <c r="H84" s="214">
        <v>5.9081718550175069</v>
      </c>
      <c r="I84" s="214">
        <v>5.0704316355706291</v>
      </c>
      <c r="J84" s="214">
        <v>1.7841439994617716</v>
      </c>
      <c r="K84" s="214">
        <v>6.8545756350324005</v>
      </c>
      <c r="L84" s="214">
        <v>5.2520991821192329</v>
      </c>
      <c r="M84" s="214">
        <v>0.84256929605088438</v>
      </c>
      <c r="N84" s="214">
        <v>6.0946684781701173</v>
      </c>
      <c r="O84" s="19"/>
      <c r="P84" s="226">
        <f t="shared" si="15"/>
        <v>5.050072161056649</v>
      </c>
      <c r="Q84" s="226">
        <f t="shared" si="16"/>
        <v>6.2858053227400079</v>
      </c>
      <c r="R84" s="144"/>
    </row>
    <row r="85" spans="2:18">
      <c r="B85" s="142">
        <f t="shared" si="12"/>
        <v>2028</v>
      </c>
      <c r="C85" s="19">
        <f t="shared" si="13"/>
        <v>6</v>
      </c>
      <c r="D85" s="143">
        <v>46905</v>
      </c>
      <c r="E85" s="19" t="str">
        <f t="shared" si="14"/>
        <v>6-2028</v>
      </c>
      <c r="F85" s="214">
        <v>4.9523759902264963</v>
      </c>
      <c r="G85" s="214">
        <v>1.0804861895374214</v>
      </c>
      <c r="H85" s="214">
        <v>6.0328621797639173</v>
      </c>
      <c r="I85" s="214">
        <v>5.2013694191870075</v>
      </c>
      <c r="J85" s="214">
        <v>1.7841439994617716</v>
      </c>
      <c r="K85" s="214">
        <v>6.9855134186487788</v>
      </c>
      <c r="L85" s="214">
        <v>5.387782851158609</v>
      </c>
      <c r="M85" s="214">
        <v>0.84256929605088438</v>
      </c>
      <c r="N85" s="214">
        <v>6.2303521472094934</v>
      </c>
      <c r="O85" s="19"/>
      <c r="P85" s="226">
        <f t="shared" si="15"/>
        <v>5.1805094201907034</v>
      </c>
      <c r="Q85" s="226">
        <f t="shared" si="16"/>
        <v>6.4162425818740632</v>
      </c>
      <c r="R85" s="144"/>
    </row>
    <row r="86" spans="2:18">
      <c r="B86" s="142">
        <f t="shared" si="12"/>
        <v>2028</v>
      </c>
      <c r="C86" s="19">
        <f t="shared" si="13"/>
        <v>7</v>
      </c>
      <c r="D86" s="143">
        <v>46935</v>
      </c>
      <c r="E86" s="19" t="str">
        <f t="shared" si="14"/>
        <v>7-2028</v>
      </c>
      <c r="F86" s="214">
        <v>4.9915493661471082</v>
      </c>
      <c r="G86" s="214">
        <v>1.0804861895374214</v>
      </c>
      <c r="H86" s="214">
        <v>6.0720355556845291</v>
      </c>
      <c r="I86" s="214">
        <v>5.2424899312572517</v>
      </c>
      <c r="J86" s="214">
        <v>1.7841439994617716</v>
      </c>
      <c r="K86" s="214">
        <v>7.0266339307190231</v>
      </c>
      <c r="L86" s="214">
        <v>5.4304320724057238</v>
      </c>
      <c r="M86" s="214">
        <v>0.84256929605088438</v>
      </c>
      <c r="N86" s="214">
        <v>6.2730013684566082</v>
      </c>
      <c r="O86" s="19"/>
      <c r="P86" s="226">
        <f t="shared" si="15"/>
        <v>5.2214904566033615</v>
      </c>
      <c r="Q86" s="226">
        <f t="shared" si="16"/>
        <v>6.4572236182867195</v>
      </c>
      <c r="R86" s="144"/>
    </row>
    <row r="87" spans="2:18">
      <c r="B87" s="142">
        <f t="shared" si="12"/>
        <v>2028</v>
      </c>
      <c r="C87" s="19">
        <f t="shared" si="13"/>
        <v>8</v>
      </c>
      <c r="D87" s="143">
        <v>46966</v>
      </c>
      <c r="E87" s="19" t="str">
        <f t="shared" si="14"/>
        <v>8-2028</v>
      </c>
      <c r="F87" s="214">
        <v>4.9528791769692884</v>
      </c>
      <c r="G87" s="214">
        <v>1.0804861895374214</v>
      </c>
      <c r="H87" s="214">
        <v>6.0333653665067093</v>
      </c>
      <c r="I87" s="214">
        <v>5.2018534372332477</v>
      </c>
      <c r="J87" s="214">
        <v>1.7841439994617716</v>
      </c>
      <c r="K87" s="214">
        <v>6.985997436695019</v>
      </c>
      <c r="L87" s="214">
        <v>5.3883933290383563</v>
      </c>
      <c r="M87" s="214">
        <v>0.84256929605088438</v>
      </c>
      <c r="N87" s="214">
        <v>6.2309626250892407</v>
      </c>
      <c r="O87" s="19"/>
      <c r="P87" s="226">
        <f t="shared" si="15"/>
        <v>5.1810419810802975</v>
      </c>
      <c r="Q87" s="226">
        <f t="shared" si="16"/>
        <v>6.4167751427636572</v>
      </c>
      <c r="R87" s="144"/>
    </row>
    <row r="88" spans="2:18">
      <c r="B88" s="142">
        <f t="shared" si="12"/>
        <v>2028</v>
      </c>
      <c r="C88" s="19">
        <f t="shared" si="13"/>
        <v>9</v>
      </c>
      <c r="D88" s="143">
        <v>46997</v>
      </c>
      <c r="E88" s="19" t="str">
        <f t="shared" si="14"/>
        <v>9-2028</v>
      </c>
      <c r="F88" s="214">
        <v>5.0224291366747043</v>
      </c>
      <c r="G88" s="214">
        <v>1.0804861895374214</v>
      </c>
      <c r="H88" s="214">
        <v>6.1029153262121252</v>
      </c>
      <c r="I88" s="214">
        <v>5.2748770249893688</v>
      </c>
      <c r="J88" s="214">
        <v>1.7841439994617716</v>
      </c>
      <c r="K88" s="214">
        <v>7.0590210244511402</v>
      </c>
      <c r="L88" s="214">
        <v>5.4640908965399255</v>
      </c>
      <c r="M88" s="214">
        <v>0.84256929605088438</v>
      </c>
      <c r="N88" s="214">
        <v>6.3066601925908099</v>
      </c>
      <c r="O88" s="19"/>
      <c r="P88" s="226">
        <f t="shared" si="15"/>
        <v>5.2537990194013329</v>
      </c>
      <c r="Q88" s="226">
        <f t="shared" si="16"/>
        <v>6.4895321810846909</v>
      </c>
      <c r="R88" s="144"/>
    </row>
    <row r="89" spans="2:18">
      <c r="B89" s="142">
        <f t="shared" si="12"/>
        <v>2028</v>
      </c>
      <c r="C89" s="19">
        <f t="shared" si="13"/>
        <v>10</v>
      </c>
      <c r="D89" s="143">
        <v>47027</v>
      </c>
      <c r="E89" s="19" t="str">
        <f t="shared" si="14"/>
        <v>10-2028</v>
      </c>
      <c r="F89" s="214">
        <v>4.9933714048418123</v>
      </c>
      <c r="G89" s="214">
        <v>1.0804861895374214</v>
      </c>
      <c r="H89" s="214">
        <v>6.0738575943792341</v>
      </c>
      <c r="I89" s="214">
        <v>5.2443363094587614</v>
      </c>
      <c r="J89" s="214">
        <v>1.7841439994617716</v>
      </c>
      <c r="K89" s="214">
        <v>7.0284803089205328</v>
      </c>
      <c r="L89" s="214">
        <v>5.4325096832946977</v>
      </c>
      <c r="M89" s="214">
        <v>0.84256929605088438</v>
      </c>
      <c r="N89" s="214">
        <v>6.2750789793455821</v>
      </c>
      <c r="O89" s="19"/>
      <c r="P89" s="226">
        <f t="shared" si="15"/>
        <v>5.2234057991984235</v>
      </c>
      <c r="Q89" s="226">
        <f t="shared" si="16"/>
        <v>6.4591389608817833</v>
      </c>
      <c r="R89" s="144"/>
    </row>
    <row r="90" spans="2:18">
      <c r="B90" s="142">
        <f t="shared" si="12"/>
        <v>2028</v>
      </c>
      <c r="C90" s="19">
        <f t="shared" si="13"/>
        <v>11</v>
      </c>
      <c r="D90" s="143">
        <v>47058</v>
      </c>
      <c r="E90" s="19" t="str">
        <f t="shared" si="14"/>
        <v>11-2028</v>
      </c>
      <c r="F90" s="214">
        <v>5.2400563003444081</v>
      </c>
      <c r="G90" s="214">
        <v>1.0804861895374214</v>
      </c>
      <c r="H90" s="214">
        <v>6.320542489881829</v>
      </c>
      <c r="I90" s="214">
        <v>5.5033959581391629</v>
      </c>
      <c r="J90" s="214">
        <v>1.7841439994617716</v>
      </c>
      <c r="K90" s="214">
        <v>7.2875399576009343</v>
      </c>
      <c r="L90" s="214">
        <v>5.7009224645923711</v>
      </c>
      <c r="M90" s="214">
        <v>0.84256929605088438</v>
      </c>
      <c r="N90" s="214">
        <v>6.5434917606432554</v>
      </c>
      <c r="O90" s="19"/>
      <c r="P90" s="226">
        <f t="shared" si="15"/>
        <v>5.4814582410253143</v>
      </c>
      <c r="Q90" s="226">
        <f t="shared" si="16"/>
        <v>6.7171914027086723</v>
      </c>
      <c r="R90" s="144"/>
    </row>
    <row r="91" spans="2:18">
      <c r="B91" s="142">
        <f t="shared" si="12"/>
        <v>2028</v>
      </c>
      <c r="C91" s="19">
        <f t="shared" si="13"/>
        <v>12</v>
      </c>
      <c r="D91" s="143">
        <v>47088</v>
      </c>
      <c r="E91" s="19" t="str">
        <f t="shared" si="14"/>
        <v>12-2028</v>
      </c>
      <c r="F91" s="214">
        <v>5.2820818756671262</v>
      </c>
      <c r="G91" s="214">
        <v>1.0804861895374214</v>
      </c>
      <c r="H91" s="214">
        <v>6.3625680652045471</v>
      </c>
      <c r="I91" s="214">
        <v>5.5475098082408403</v>
      </c>
      <c r="J91" s="214">
        <v>1.7841439994617716</v>
      </c>
      <c r="K91" s="214">
        <v>7.3316538077026117</v>
      </c>
      <c r="L91" s="214">
        <v>5.7466778559211402</v>
      </c>
      <c r="M91" s="214">
        <v>0.84256929605088438</v>
      </c>
      <c r="N91" s="214">
        <v>6.5892471519720246</v>
      </c>
      <c r="O91" s="19"/>
      <c r="P91" s="226">
        <f t="shared" si="15"/>
        <v>5.5254231799430356</v>
      </c>
      <c r="Q91" s="226">
        <f t="shared" si="16"/>
        <v>6.7611563416263936</v>
      </c>
      <c r="R91" s="144"/>
    </row>
    <row r="92" spans="2:18">
      <c r="B92" s="142">
        <f t="shared" si="12"/>
        <v>2029</v>
      </c>
      <c r="C92" s="19">
        <f t="shared" si="13"/>
        <v>1</v>
      </c>
      <c r="D92" s="143">
        <v>47119</v>
      </c>
      <c r="E92" s="19" t="str">
        <f t="shared" si="14"/>
        <v>1-2029</v>
      </c>
      <c r="F92" s="214">
        <v>5.2822996069931092</v>
      </c>
      <c r="G92" s="214">
        <v>1.1237056371189185</v>
      </c>
      <c r="H92" s="214">
        <v>6.4060052441120279</v>
      </c>
      <c r="I92" s="214">
        <v>5.5477634713010184</v>
      </c>
      <c r="J92" s="214">
        <v>1.8555097594402425</v>
      </c>
      <c r="K92" s="214">
        <v>7.4032732307412612</v>
      </c>
      <c r="L92" s="214">
        <v>5.7469907465379455</v>
      </c>
      <c r="M92" s="214">
        <v>0.87627206789291989</v>
      </c>
      <c r="N92" s="214">
        <v>6.6232628144308654</v>
      </c>
      <c r="O92" s="19"/>
      <c r="P92" s="226">
        <f t="shared" si="15"/>
        <v>5.5256846082773583</v>
      </c>
      <c r="Q92" s="226">
        <f t="shared" si="16"/>
        <v>6.8108470964280521</v>
      </c>
      <c r="R92" s="144"/>
    </row>
    <row r="93" spans="2:18">
      <c r="B93" s="142">
        <f t="shared" si="12"/>
        <v>2029</v>
      </c>
      <c r="C93" s="19">
        <f t="shared" si="13"/>
        <v>2</v>
      </c>
      <c r="D93" s="143">
        <v>47150</v>
      </c>
      <c r="E93" s="19" t="str">
        <f t="shared" si="14"/>
        <v>2-2029</v>
      </c>
      <c r="F93" s="214">
        <v>5.1663961278224555</v>
      </c>
      <c r="G93" s="214">
        <v>1.1237056371189185</v>
      </c>
      <c r="H93" s="214">
        <v>6.2901017649413742</v>
      </c>
      <c r="I93" s="214">
        <v>5.42605966628388</v>
      </c>
      <c r="J93" s="214">
        <v>1.8555097594402425</v>
      </c>
      <c r="K93" s="214">
        <v>7.2815694257241228</v>
      </c>
      <c r="L93" s="214">
        <v>5.6209654286649169</v>
      </c>
      <c r="M93" s="214">
        <v>0.87627206789291989</v>
      </c>
      <c r="N93" s="214">
        <v>6.4972374965578368</v>
      </c>
      <c r="O93" s="19"/>
      <c r="P93" s="226">
        <f t="shared" si="15"/>
        <v>5.4044737409237511</v>
      </c>
      <c r="Q93" s="226">
        <f t="shared" si="16"/>
        <v>6.6896362290744449</v>
      </c>
      <c r="R93" s="144"/>
    </row>
    <row r="94" spans="2:18">
      <c r="B94" s="142">
        <f t="shared" si="12"/>
        <v>2029</v>
      </c>
      <c r="C94" s="19">
        <f t="shared" si="13"/>
        <v>3</v>
      </c>
      <c r="D94" s="143">
        <v>47178</v>
      </c>
      <c r="E94" s="19" t="str">
        <f t="shared" si="14"/>
        <v>3-2029</v>
      </c>
      <c r="F94" s="214">
        <v>4.7426835485689711</v>
      </c>
      <c r="G94" s="214">
        <v>1.1237056371189185</v>
      </c>
      <c r="H94" s="214">
        <v>5.8663891856878898</v>
      </c>
      <c r="I94" s="214">
        <v>4.9810736972801601</v>
      </c>
      <c r="J94" s="214">
        <v>1.8555097594402425</v>
      </c>
      <c r="K94" s="214">
        <v>6.8365834567204029</v>
      </c>
      <c r="L94" s="214">
        <v>5.1600404348966107</v>
      </c>
      <c r="M94" s="214">
        <v>0.87627206789291989</v>
      </c>
      <c r="N94" s="214">
        <v>6.0363125027895306</v>
      </c>
      <c r="O94" s="19"/>
      <c r="P94" s="226">
        <f t="shared" si="15"/>
        <v>4.9612658935819143</v>
      </c>
      <c r="Q94" s="226">
        <f t="shared" si="16"/>
        <v>6.2464283817326072</v>
      </c>
      <c r="R94" s="144"/>
    </row>
    <row r="95" spans="2:18">
      <c r="B95" s="142">
        <f t="shared" si="12"/>
        <v>2029</v>
      </c>
      <c r="C95" s="19">
        <f t="shared" si="13"/>
        <v>4</v>
      </c>
      <c r="D95" s="143">
        <v>47209</v>
      </c>
      <c r="E95" s="19" t="str">
        <f t="shared" si="14"/>
        <v>4-2029</v>
      </c>
      <c r="F95" s="214">
        <v>4.6619041424516077</v>
      </c>
      <c r="G95" s="214">
        <v>1.1237056371189185</v>
      </c>
      <c r="H95" s="214">
        <v>5.7856097795705264</v>
      </c>
      <c r="I95" s="214">
        <v>4.8962559919118265</v>
      </c>
      <c r="J95" s="214">
        <v>1.8555097594402425</v>
      </c>
      <c r="K95" s="214">
        <v>6.7517657513520692</v>
      </c>
      <c r="L95" s="214">
        <v>5.0722195335095837</v>
      </c>
      <c r="M95" s="214">
        <v>0.87627206789291989</v>
      </c>
      <c r="N95" s="214">
        <v>5.9484916014025035</v>
      </c>
      <c r="O95" s="19"/>
      <c r="P95" s="226">
        <f t="shared" si="15"/>
        <v>4.8767932226243387</v>
      </c>
      <c r="Q95" s="226">
        <f t="shared" si="16"/>
        <v>6.1619557107750325</v>
      </c>
      <c r="R95" s="144"/>
    </row>
    <row r="96" spans="2:18">
      <c r="B96" s="142">
        <f t="shared" si="12"/>
        <v>2029</v>
      </c>
      <c r="C96" s="19">
        <f t="shared" si="13"/>
        <v>5</v>
      </c>
      <c r="D96" s="143">
        <v>47239</v>
      </c>
      <c r="E96" s="19" t="str">
        <f t="shared" si="14"/>
        <v>5-2029</v>
      </c>
      <c r="F96" s="214">
        <v>4.8240688479366245</v>
      </c>
      <c r="G96" s="214">
        <v>1.1237056371189185</v>
      </c>
      <c r="H96" s="214">
        <v>5.9477744850555432</v>
      </c>
      <c r="I96" s="214">
        <v>5.0665954785285248</v>
      </c>
      <c r="J96" s="214">
        <v>1.8555097594402425</v>
      </c>
      <c r="K96" s="214">
        <v>6.9221052379687675</v>
      </c>
      <c r="L96" s="214">
        <v>5.2487265398266061</v>
      </c>
      <c r="M96" s="214">
        <v>0.87627206789291989</v>
      </c>
      <c r="N96" s="214">
        <v>6.124998607719526</v>
      </c>
      <c r="O96" s="19"/>
      <c r="P96" s="226">
        <f t="shared" si="15"/>
        <v>5.0464636220972521</v>
      </c>
      <c r="Q96" s="226">
        <f t="shared" si="16"/>
        <v>6.3316261102479459</v>
      </c>
      <c r="R96" s="144"/>
    </row>
    <row r="97" spans="2:18">
      <c r="B97" s="142">
        <f t="shared" si="12"/>
        <v>2029</v>
      </c>
      <c r="C97" s="19">
        <f t="shared" si="13"/>
        <v>6</v>
      </c>
      <c r="D97" s="143">
        <v>47270</v>
      </c>
      <c r="E97" s="19" t="str">
        <f t="shared" si="14"/>
        <v>6-2029</v>
      </c>
      <c r="F97" s="214">
        <v>4.9486961645370648</v>
      </c>
      <c r="G97" s="214">
        <v>1.1237056371189185</v>
      </c>
      <c r="H97" s="214">
        <v>6.0724018016559835</v>
      </c>
      <c r="I97" s="214">
        <v>5.1975117709420111</v>
      </c>
      <c r="J97" s="214">
        <v>1.8555097594402425</v>
      </c>
      <c r="K97" s="214">
        <v>7.0530215303822539</v>
      </c>
      <c r="L97" s="214">
        <v>5.384395917564837</v>
      </c>
      <c r="M97" s="214">
        <v>0.87627206789291989</v>
      </c>
      <c r="N97" s="214">
        <v>6.2606679854577569</v>
      </c>
      <c r="O97" s="19"/>
      <c r="P97" s="226">
        <f t="shared" si="15"/>
        <v>5.1768679510146383</v>
      </c>
      <c r="Q97" s="226">
        <f t="shared" si="16"/>
        <v>6.462030439165332</v>
      </c>
      <c r="R97" s="144"/>
    </row>
    <row r="98" spans="2:18">
      <c r="B98" s="142">
        <f t="shared" si="12"/>
        <v>2029</v>
      </c>
      <c r="C98" s="19">
        <f t="shared" si="13"/>
        <v>7</v>
      </c>
      <c r="D98" s="143">
        <v>47300</v>
      </c>
      <c r="E98" s="19" t="str">
        <f t="shared" si="14"/>
        <v>7-2029</v>
      </c>
      <c r="F98" s="214">
        <v>4.9878710851475585</v>
      </c>
      <c r="G98" s="214">
        <v>1.1237056371189185</v>
      </c>
      <c r="H98" s="214">
        <v>6.1115767222664772</v>
      </c>
      <c r="I98" s="214">
        <v>5.2386799826005079</v>
      </c>
      <c r="J98" s="214">
        <v>1.8555097594402425</v>
      </c>
      <c r="K98" s="214">
        <v>7.0941897420407507</v>
      </c>
      <c r="L98" s="214">
        <v>5.4270917515504031</v>
      </c>
      <c r="M98" s="214">
        <v>0.87627206789291989</v>
      </c>
      <c r="N98" s="214">
        <v>6.303363819443323</v>
      </c>
      <c r="O98" s="19"/>
      <c r="P98" s="226">
        <f t="shared" si="15"/>
        <v>5.2178809397661565</v>
      </c>
      <c r="Q98" s="226">
        <f t="shared" si="16"/>
        <v>6.5030434279168503</v>
      </c>
      <c r="R98" s="144"/>
    </row>
    <row r="99" spans="2:18">
      <c r="B99" s="142">
        <f t="shared" si="12"/>
        <v>2029</v>
      </c>
      <c r="C99" s="19">
        <f t="shared" si="13"/>
        <v>8</v>
      </c>
      <c r="D99" s="143">
        <v>47331</v>
      </c>
      <c r="E99" s="19" t="str">
        <f t="shared" si="14"/>
        <v>8-2029</v>
      </c>
      <c r="F99" s="214">
        <v>4.9492598107570274</v>
      </c>
      <c r="G99" s="214">
        <v>1.1237056371189185</v>
      </c>
      <c r="H99" s="214">
        <v>6.0729654478759461</v>
      </c>
      <c r="I99" s="214">
        <v>5.1981506225604086</v>
      </c>
      <c r="J99" s="214">
        <v>1.8555097594402425</v>
      </c>
      <c r="K99" s="214">
        <v>7.0536603820006514</v>
      </c>
      <c r="L99" s="214">
        <v>5.3851517303327805</v>
      </c>
      <c r="M99" s="214">
        <v>0.87627206789291989</v>
      </c>
      <c r="N99" s="214">
        <v>6.2614237982257004</v>
      </c>
      <c r="O99" s="19"/>
      <c r="P99" s="226">
        <f t="shared" si="15"/>
        <v>5.1775207212167382</v>
      </c>
      <c r="Q99" s="226">
        <f t="shared" si="16"/>
        <v>6.4626832093674329</v>
      </c>
      <c r="R99" s="144"/>
    </row>
    <row r="100" spans="2:18">
      <c r="B100" s="142">
        <f t="shared" si="12"/>
        <v>2029</v>
      </c>
      <c r="C100" s="19">
        <f t="shared" si="13"/>
        <v>9</v>
      </c>
      <c r="D100" s="143">
        <v>47362</v>
      </c>
      <c r="E100" s="19" t="str">
        <f t="shared" si="14"/>
        <v>9-2029</v>
      </c>
      <c r="F100" s="214">
        <v>5.0187897959520162</v>
      </c>
      <c r="G100" s="214">
        <v>1.1237056371189185</v>
      </c>
      <c r="H100" s="214">
        <v>6.1424954330709349</v>
      </c>
      <c r="I100" s="214">
        <v>5.2712009321559767</v>
      </c>
      <c r="J100" s="214">
        <v>1.8555097594402425</v>
      </c>
      <c r="K100" s="214">
        <v>7.1267106915962195</v>
      </c>
      <c r="L100" s="214">
        <v>5.4608776549928608</v>
      </c>
      <c r="M100" s="214">
        <v>0.87627206789291989</v>
      </c>
      <c r="N100" s="214">
        <v>6.3371497228857807</v>
      </c>
      <c r="O100" s="19"/>
      <c r="P100" s="226">
        <f t="shared" si="15"/>
        <v>5.2502894610336179</v>
      </c>
      <c r="Q100" s="226">
        <f t="shared" si="16"/>
        <v>6.5354519491843108</v>
      </c>
      <c r="R100" s="144"/>
    </row>
    <row r="101" spans="2:18">
      <c r="B101" s="142">
        <f t="shared" si="12"/>
        <v>2029</v>
      </c>
      <c r="C101" s="19">
        <f t="shared" si="13"/>
        <v>10</v>
      </c>
      <c r="D101" s="143">
        <v>47392</v>
      </c>
      <c r="E101" s="19" t="str">
        <f t="shared" si="14"/>
        <v>10-2029</v>
      </c>
      <c r="F101" s="214">
        <v>4.9897837951900161</v>
      </c>
      <c r="G101" s="214">
        <v>1.1237056371189185</v>
      </c>
      <c r="H101" s="214">
        <v>6.1134894323089348</v>
      </c>
      <c r="I101" s="214">
        <v>5.2407597577337999</v>
      </c>
      <c r="J101" s="214">
        <v>1.8555097594402425</v>
      </c>
      <c r="K101" s="214">
        <v>7.0962695171740426</v>
      </c>
      <c r="L101" s="214">
        <v>5.429388491142797</v>
      </c>
      <c r="M101" s="214">
        <v>0.87627206789291989</v>
      </c>
      <c r="N101" s="214">
        <v>6.3056605590357169</v>
      </c>
      <c r="O101" s="19"/>
      <c r="P101" s="226">
        <f t="shared" si="15"/>
        <v>5.219977348022204</v>
      </c>
      <c r="Q101" s="226">
        <f t="shared" si="16"/>
        <v>6.5051398361728987</v>
      </c>
      <c r="R101" s="144"/>
    </row>
    <row r="102" spans="2:18">
      <c r="B102" s="142">
        <f t="shared" si="12"/>
        <v>2029</v>
      </c>
      <c r="C102" s="19">
        <f t="shared" si="13"/>
        <v>11</v>
      </c>
      <c r="D102" s="143">
        <v>47423</v>
      </c>
      <c r="E102" s="19" t="str">
        <f t="shared" si="14"/>
        <v>11-2029</v>
      </c>
      <c r="F102" s="214">
        <v>5.2363236488540492</v>
      </c>
      <c r="G102" s="214">
        <v>1.1237056371189185</v>
      </c>
      <c r="H102" s="214">
        <v>6.3600292859729679</v>
      </c>
      <c r="I102" s="214">
        <v>5.4997248661957601</v>
      </c>
      <c r="J102" s="214">
        <v>1.8555097594402425</v>
      </c>
      <c r="K102" s="214">
        <v>7.3552346256360028</v>
      </c>
      <c r="L102" s="214">
        <v>5.6977241757941082</v>
      </c>
      <c r="M102" s="214">
        <v>0.87627206789291989</v>
      </c>
      <c r="N102" s="214">
        <v>6.5739962436870281</v>
      </c>
      <c r="O102" s="19"/>
      <c r="P102" s="226">
        <f t="shared" si="15"/>
        <v>5.4779242302813058</v>
      </c>
      <c r="Q102" s="226">
        <f t="shared" si="16"/>
        <v>6.7630867184319996</v>
      </c>
      <c r="R102" s="144"/>
    </row>
    <row r="103" spans="2:18">
      <c r="B103" s="142">
        <f t="shared" si="12"/>
        <v>2029</v>
      </c>
      <c r="C103" s="19">
        <f t="shared" si="13"/>
        <v>12</v>
      </c>
      <c r="D103" s="143">
        <v>47453</v>
      </c>
      <c r="E103" s="19" t="str">
        <f t="shared" si="14"/>
        <v>12-2029</v>
      </c>
      <c r="F103" s="214">
        <v>5.2783517454581901</v>
      </c>
      <c r="G103" s="214">
        <v>1.1237056371189185</v>
      </c>
      <c r="H103" s="214">
        <v>6.4020573825771088</v>
      </c>
      <c r="I103" s="214">
        <v>5.5438920938165648</v>
      </c>
      <c r="J103" s="214">
        <v>1.8555097594402425</v>
      </c>
      <c r="K103" s="214">
        <v>7.3994018532568075</v>
      </c>
      <c r="L103" s="214">
        <v>5.7435316430531858</v>
      </c>
      <c r="M103" s="214">
        <v>0.87627206789291989</v>
      </c>
      <c r="N103" s="214">
        <v>6.6198037109461056</v>
      </c>
      <c r="O103" s="19"/>
      <c r="P103" s="226">
        <f t="shared" si="15"/>
        <v>5.5219251607759796</v>
      </c>
      <c r="Q103" s="226">
        <f t="shared" si="16"/>
        <v>6.8070876489266743</v>
      </c>
      <c r="R103" s="144"/>
    </row>
    <row r="104" spans="2:18">
      <c r="B104" s="142">
        <f t="shared" si="12"/>
        <v>2030</v>
      </c>
      <c r="C104" s="19">
        <f t="shared" si="13"/>
        <v>1</v>
      </c>
      <c r="D104" s="143">
        <v>47484</v>
      </c>
      <c r="E104" s="19" t="str">
        <f t="shared" si="14"/>
        <v>1-2030</v>
      </c>
      <c r="F104" s="214">
        <v>5.2785597241129558</v>
      </c>
      <c r="G104" s="214">
        <v>1.1686538626036753</v>
      </c>
      <c r="H104" s="214">
        <v>6.4472135867166314</v>
      </c>
      <c r="I104" s="214">
        <v>5.5440591048710965</v>
      </c>
      <c r="J104" s="214">
        <v>1.9297301498178525</v>
      </c>
      <c r="K104" s="214">
        <v>7.4737892546889491</v>
      </c>
      <c r="L104" s="214">
        <v>5.7437555871971915</v>
      </c>
      <c r="M104" s="214">
        <v>0.91132295060863677</v>
      </c>
      <c r="N104" s="214">
        <v>6.6550785378058279</v>
      </c>
      <c r="O104" s="19"/>
      <c r="P104" s="226">
        <f t="shared" si="15"/>
        <v>5.5221248053937479</v>
      </c>
      <c r="Q104" s="226">
        <f t="shared" si="16"/>
        <v>6.8586937930704694</v>
      </c>
      <c r="R104" s="144"/>
    </row>
    <row r="105" spans="2:18">
      <c r="B105" s="142">
        <f t="shared" si="12"/>
        <v>2030</v>
      </c>
      <c r="C105" s="19">
        <f t="shared" si="13"/>
        <v>2</v>
      </c>
      <c r="D105" s="143">
        <v>47515</v>
      </c>
      <c r="E105" s="19" t="str">
        <f t="shared" si="14"/>
        <v>2-2030</v>
      </c>
      <c r="F105" s="214">
        <v>5.1627289155297795</v>
      </c>
      <c r="G105" s="214">
        <v>1.1686538626036753</v>
      </c>
      <c r="H105" s="214">
        <v>6.3313827781334551</v>
      </c>
      <c r="I105" s="214">
        <v>5.4223519657384296</v>
      </c>
      <c r="J105" s="214">
        <v>1.9297301498178525</v>
      </c>
      <c r="K105" s="214">
        <v>7.3520821155562821</v>
      </c>
      <c r="L105" s="214">
        <v>5.6177143765344448</v>
      </c>
      <c r="M105" s="214">
        <v>0.91132295060863677</v>
      </c>
      <c r="N105" s="214">
        <v>6.5290373271430813</v>
      </c>
      <c r="O105" s="19"/>
      <c r="P105" s="226">
        <f t="shared" si="15"/>
        <v>5.4009317526008838</v>
      </c>
      <c r="Q105" s="226">
        <f t="shared" si="16"/>
        <v>6.7375007402776061</v>
      </c>
      <c r="R105" s="144"/>
    </row>
    <row r="106" spans="2:18">
      <c r="B106" s="142">
        <f t="shared" si="12"/>
        <v>2030</v>
      </c>
      <c r="C106" s="19">
        <f t="shared" si="13"/>
        <v>3</v>
      </c>
      <c r="D106" s="143">
        <v>47543</v>
      </c>
      <c r="E106" s="19" t="str">
        <f t="shared" si="14"/>
        <v>3-2030</v>
      </c>
      <c r="F106" s="214">
        <v>4.7393084756610255</v>
      </c>
      <c r="G106" s="214">
        <v>1.1686538626036753</v>
      </c>
      <c r="H106" s="214">
        <v>5.9079623382647011</v>
      </c>
      <c r="I106" s="214">
        <v>4.9775923926294761</v>
      </c>
      <c r="J106" s="214">
        <v>1.9297301498178525</v>
      </c>
      <c r="K106" s="214">
        <v>6.9073225424473286</v>
      </c>
      <c r="L106" s="214">
        <v>5.1569762494579274</v>
      </c>
      <c r="M106" s="214">
        <v>0.91132295060863677</v>
      </c>
      <c r="N106" s="214">
        <v>6.0682992000665639</v>
      </c>
      <c r="O106" s="19"/>
      <c r="P106" s="226">
        <f t="shared" si="15"/>
        <v>4.9579590392494763</v>
      </c>
      <c r="Q106" s="226">
        <f t="shared" si="16"/>
        <v>6.2945280269261978</v>
      </c>
      <c r="R106" s="144"/>
    </row>
    <row r="107" spans="2:18">
      <c r="B107" s="142">
        <f t="shared" si="12"/>
        <v>2030</v>
      </c>
      <c r="C107" s="19">
        <f t="shared" si="13"/>
        <v>4</v>
      </c>
      <c r="D107" s="143">
        <v>47574</v>
      </c>
      <c r="E107" s="19" t="str">
        <f t="shared" si="14"/>
        <v>4-2030</v>
      </c>
      <c r="F107" s="214">
        <v>4.658578080691238</v>
      </c>
      <c r="G107" s="214">
        <v>1.1686538626036753</v>
      </c>
      <c r="H107" s="214">
        <v>5.8272319432949136</v>
      </c>
      <c r="I107" s="214">
        <v>4.8927576120690324</v>
      </c>
      <c r="J107" s="214">
        <v>1.9297301498178525</v>
      </c>
      <c r="K107" s="214">
        <v>6.8224877618868849</v>
      </c>
      <c r="L107" s="214">
        <v>5.0691291254658752</v>
      </c>
      <c r="M107" s="214">
        <v>0.91132295060863677</v>
      </c>
      <c r="N107" s="214">
        <v>5.9804520760745117</v>
      </c>
      <c r="O107" s="19"/>
      <c r="P107" s="226">
        <f t="shared" si="15"/>
        <v>4.8734882727420485</v>
      </c>
      <c r="Q107" s="226">
        <f t="shared" si="16"/>
        <v>6.2100572604187692</v>
      </c>
      <c r="R107" s="144"/>
    </row>
    <row r="108" spans="2:18">
      <c r="B108" s="142">
        <f t="shared" si="12"/>
        <v>2030</v>
      </c>
      <c r="C108" s="19">
        <f t="shared" si="13"/>
        <v>5</v>
      </c>
      <c r="D108" s="143">
        <v>47604</v>
      </c>
      <c r="E108" s="19" t="str">
        <f t="shared" si="14"/>
        <v>5-2030</v>
      </c>
      <c r="F108" s="214">
        <v>4.8206183185026887</v>
      </c>
      <c r="G108" s="214">
        <v>1.1686538626036753</v>
      </c>
      <c r="H108" s="214">
        <v>5.9892721811063643</v>
      </c>
      <c r="I108" s="214">
        <v>5.0628963711603081</v>
      </c>
      <c r="J108" s="214">
        <v>1.9297301498178525</v>
      </c>
      <c r="K108" s="214">
        <v>6.9926265209781606</v>
      </c>
      <c r="L108" s="214">
        <v>5.2454474814180783</v>
      </c>
      <c r="M108" s="214">
        <v>0.91132295060863677</v>
      </c>
      <c r="N108" s="214">
        <v>6.1567704320267147</v>
      </c>
      <c r="O108" s="19"/>
      <c r="P108" s="226">
        <f t="shared" si="15"/>
        <v>5.0429873903603584</v>
      </c>
      <c r="Q108" s="226">
        <f t="shared" si="16"/>
        <v>6.3795563780370799</v>
      </c>
      <c r="R108" s="144"/>
    </row>
    <row r="109" spans="2:18">
      <c r="B109" s="142">
        <f t="shared" si="12"/>
        <v>2030</v>
      </c>
      <c r="C109" s="19">
        <f t="shared" si="13"/>
        <v>6</v>
      </c>
      <c r="D109" s="143">
        <v>47635</v>
      </c>
      <c r="E109" s="19" t="str">
        <f t="shared" si="14"/>
        <v>6-2030</v>
      </c>
      <c r="F109" s="214">
        <v>4.9451474944767826</v>
      </c>
      <c r="G109" s="214">
        <v>1.1686538626036753</v>
      </c>
      <c r="H109" s="214">
        <v>6.1138013570804581</v>
      </c>
      <c r="I109" s="214">
        <v>5.1936360115456921</v>
      </c>
      <c r="J109" s="214">
        <v>1.9297301498178525</v>
      </c>
      <c r="K109" s="214">
        <v>7.1233661613635446</v>
      </c>
      <c r="L109" s="214">
        <v>5.3809488898305586</v>
      </c>
      <c r="M109" s="214">
        <v>0.91132295060863677</v>
      </c>
      <c r="N109" s="214">
        <v>6.2922718404391951</v>
      </c>
      <c r="O109" s="19"/>
      <c r="P109" s="226">
        <f t="shared" si="15"/>
        <v>5.1732441319510114</v>
      </c>
      <c r="Q109" s="226">
        <f t="shared" si="16"/>
        <v>6.5098131196277329</v>
      </c>
      <c r="R109" s="144"/>
    </row>
    <row r="110" spans="2:18">
      <c r="B110" s="142">
        <f t="shared" si="12"/>
        <v>2030</v>
      </c>
      <c r="C110" s="19">
        <f t="shared" si="13"/>
        <v>7</v>
      </c>
      <c r="D110" s="143">
        <v>47665</v>
      </c>
      <c r="E110" s="19" t="str">
        <f t="shared" si="14"/>
        <v>7-2030</v>
      </c>
      <c r="F110" s="214">
        <v>4.9842852527821018</v>
      </c>
      <c r="G110" s="214">
        <v>1.1686538626036753</v>
      </c>
      <c r="H110" s="214">
        <v>6.1529391153857773</v>
      </c>
      <c r="I110" s="214">
        <v>5.2346918028399534</v>
      </c>
      <c r="J110" s="214">
        <v>1.9297301498178525</v>
      </c>
      <c r="K110" s="214">
        <v>7.1644219526578059</v>
      </c>
      <c r="L110" s="214">
        <v>5.4235335109092899</v>
      </c>
      <c r="M110" s="214">
        <v>0.91132295060863677</v>
      </c>
      <c r="N110" s="214">
        <v>6.3348564615179264</v>
      </c>
      <c r="O110" s="19"/>
      <c r="P110" s="226">
        <f t="shared" si="15"/>
        <v>5.2141701888437817</v>
      </c>
      <c r="Q110" s="226">
        <f t="shared" si="16"/>
        <v>6.5507391765205041</v>
      </c>
      <c r="R110" s="144"/>
    </row>
    <row r="111" spans="2:18">
      <c r="B111" s="142">
        <f t="shared" si="12"/>
        <v>2030</v>
      </c>
      <c r="C111" s="19">
        <f t="shared" si="13"/>
        <v>8</v>
      </c>
      <c r="D111" s="143">
        <v>47696</v>
      </c>
      <c r="E111" s="19" t="str">
        <f t="shared" si="14"/>
        <v>8-2030</v>
      </c>
      <c r="F111" s="214">
        <v>4.9456927353057072</v>
      </c>
      <c r="G111" s="214">
        <v>1.1686538626036753</v>
      </c>
      <c r="H111" s="214">
        <v>6.1143465979093827</v>
      </c>
      <c r="I111" s="214">
        <v>5.1941121995878792</v>
      </c>
      <c r="J111" s="214">
        <v>1.9297301498178525</v>
      </c>
      <c r="K111" s="214">
        <v>7.1238423494057317</v>
      </c>
      <c r="L111" s="214">
        <v>5.3815377485042042</v>
      </c>
      <c r="M111" s="214">
        <v>0.91132295060863677</v>
      </c>
      <c r="N111" s="214">
        <v>6.2928606991128406</v>
      </c>
      <c r="O111" s="19"/>
      <c r="P111" s="226">
        <f t="shared" si="15"/>
        <v>5.1737808944659305</v>
      </c>
      <c r="Q111" s="226">
        <f t="shared" si="16"/>
        <v>6.510349882142652</v>
      </c>
      <c r="R111" s="144"/>
    </row>
    <row r="112" spans="2:18">
      <c r="B112" s="142">
        <f t="shared" si="12"/>
        <v>2030</v>
      </c>
      <c r="C112" s="19">
        <f t="shared" si="13"/>
        <v>9</v>
      </c>
      <c r="D112" s="143">
        <v>47727</v>
      </c>
      <c r="E112" s="19" t="str">
        <f t="shared" si="14"/>
        <v>9-2030</v>
      </c>
      <c r="F112" s="214">
        <v>5.0151634795585283</v>
      </c>
      <c r="G112" s="214">
        <v>1.1686538626036753</v>
      </c>
      <c r="H112" s="214">
        <v>6.1838173421622038</v>
      </c>
      <c r="I112" s="214">
        <v>5.2670235100561342</v>
      </c>
      <c r="J112" s="214">
        <v>1.9297301498178525</v>
      </c>
      <c r="K112" s="214">
        <v>7.1967536598739867</v>
      </c>
      <c r="L112" s="214">
        <v>5.4571284362805441</v>
      </c>
      <c r="M112" s="214">
        <v>0.91132295060863677</v>
      </c>
      <c r="N112" s="214">
        <v>6.3684513868891806</v>
      </c>
      <c r="O112" s="19"/>
      <c r="P112" s="226">
        <f t="shared" si="15"/>
        <v>5.2464384752984019</v>
      </c>
      <c r="Q112" s="226">
        <f t="shared" si="16"/>
        <v>6.5830074629751243</v>
      </c>
      <c r="R112" s="144"/>
    </row>
    <row r="113" spans="2:18">
      <c r="B113" s="142">
        <f t="shared" si="12"/>
        <v>2030</v>
      </c>
      <c r="C113" s="19">
        <f t="shared" si="13"/>
        <v>10</v>
      </c>
      <c r="D113" s="143">
        <v>47757</v>
      </c>
      <c r="E113" s="19" t="str">
        <f t="shared" si="14"/>
        <v>10-2030</v>
      </c>
      <c r="F113" s="214">
        <v>4.9861693600534904</v>
      </c>
      <c r="G113" s="214">
        <v>1.1686538626036753</v>
      </c>
      <c r="H113" s="214">
        <v>6.154823222657166</v>
      </c>
      <c r="I113" s="214">
        <v>5.2365246796931846</v>
      </c>
      <c r="J113" s="214">
        <v>1.9297301498178525</v>
      </c>
      <c r="K113" s="214">
        <v>7.1662548295110371</v>
      </c>
      <c r="L113" s="214">
        <v>5.4255769536123575</v>
      </c>
      <c r="M113" s="214">
        <v>0.91132295060863677</v>
      </c>
      <c r="N113" s="214">
        <v>6.3368999042209939</v>
      </c>
      <c r="O113" s="19"/>
      <c r="P113" s="226">
        <f t="shared" si="15"/>
        <v>5.2160903311196769</v>
      </c>
      <c r="Q113" s="226">
        <f t="shared" si="16"/>
        <v>6.5526593187963984</v>
      </c>
      <c r="R113" s="144"/>
    </row>
    <row r="114" spans="2:18">
      <c r="B114" s="142">
        <f t="shared" si="12"/>
        <v>2030</v>
      </c>
      <c r="C114" s="19">
        <f t="shared" si="13"/>
        <v>11</v>
      </c>
      <c r="D114" s="143">
        <v>47788</v>
      </c>
      <c r="E114" s="19" t="str">
        <f t="shared" si="14"/>
        <v>11-2030</v>
      </c>
      <c r="F114" s="214">
        <v>5.2325211017874089</v>
      </c>
      <c r="G114" s="214">
        <v>1.1686538626036753</v>
      </c>
      <c r="H114" s="214">
        <v>6.4011749643910845</v>
      </c>
      <c r="I114" s="214">
        <v>5.4951946865047692</v>
      </c>
      <c r="J114" s="214">
        <v>1.9297301498178525</v>
      </c>
      <c r="K114" s="214">
        <v>7.4249248363226217</v>
      </c>
      <c r="L114" s="214">
        <v>5.6936361668293518</v>
      </c>
      <c r="M114" s="214">
        <v>0.91132295060863677</v>
      </c>
      <c r="N114" s="214">
        <v>6.6049591174379882</v>
      </c>
      <c r="O114" s="19"/>
      <c r="P114" s="226">
        <f t="shared" si="15"/>
        <v>5.4737839850405097</v>
      </c>
      <c r="Q114" s="226">
        <f t="shared" si="16"/>
        <v>6.8103529727172321</v>
      </c>
      <c r="R114" s="144"/>
    </row>
    <row r="115" spans="2:18">
      <c r="B115" s="142">
        <f t="shared" si="12"/>
        <v>2030</v>
      </c>
      <c r="C115" s="19">
        <f t="shared" si="13"/>
        <v>12</v>
      </c>
      <c r="D115" s="143">
        <v>47818</v>
      </c>
      <c r="E115" s="19" t="str">
        <f t="shared" si="14"/>
        <v>12-2030</v>
      </c>
      <c r="F115" s="214">
        <v>5.2745090739899005</v>
      </c>
      <c r="G115" s="214">
        <v>1.1686538626036753</v>
      </c>
      <c r="H115" s="214">
        <v>6.4431629365935761</v>
      </c>
      <c r="I115" s="214">
        <v>5.5392390034721863</v>
      </c>
      <c r="J115" s="214">
        <v>1.9297301498178525</v>
      </c>
      <c r="K115" s="214">
        <v>7.4689691532900389</v>
      </c>
      <c r="L115" s="214">
        <v>5.7393219572424368</v>
      </c>
      <c r="M115" s="214">
        <v>0.91132295060863677</v>
      </c>
      <c r="N115" s="214">
        <v>6.6506449078510732</v>
      </c>
      <c r="O115" s="19"/>
      <c r="P115" s="226">
        <f t="shared" si="15"/>
        <v>5.5176900115681748</v>
      </c>
      <c r="Q115" s="226">
        <f t="shared" si="16"/>
        <v>6.8542589992448955</v>
      </c>
      <c r="R115" s="144"/>
    </row>
    <row r="116" spans="2:18">
      <c r="B116" s="142">
        <f t="shared" si="12"/>
        <v>2031</v>
      </c>
      <c r="C116" s="19">
        <f t="shared" si="13"/>
        <v>1</v>
      </c>
      <c r="D116" s="143">
        <v>47849</v>
      </c>
      <c r="E116" s="19" t="str">
        <f t="shared" si="14"/>
        <v>1-2031</v>
      </c>
      <c r="F116" s="214">
        <v>5.2746637437130843</v>
      </c>
      <c r="G116" s="214">
        <v>1.2154000171078221</v>
      </c>
      <c r="H116" s="214">
        <v>6.490063760820906</v>
      </c>
      <c r="I116" s="214">
        <v>5.5394199084798359</v>
      </c>
      <c r="J116" s="214">
        <v>2.0069193558105667</v>
      </c>
      <c r="K116" s="214">
        <v>7.5463392642904026</v>
      </c>
      <c r="L116" s="214">
        <v>5.739552931995151</v>
      </c>
      <c r="M116" s="214">
        <v>0.94777586863298213</v>
      </c>
      <c r="N116" s="214">
        <v>6.6873288006281335</v>
      </c>
      <c r="O116" s="19"/>
      <c r="P116" s="226">
        <f t="shared" si="15"/>
        <v>5.5178788613960235</v>
      </c>
      <c r="Q116" s="226">
        <f t="shared" si="16"/>
        <v>6.9079106085798143</v>
      </c>
      <c r="R116" s="144"/>
    </row>
    <row r="117" spans="2:18">
      <c r="B117" s="142">
        <f t="shared" si="12"/>
        <v>2031</v>
      </c>
      <c r="C117" s="19">
        <f t="shared" si="13"/>
        <v>2</v>
      </c>
      <c r="D117" s="143">
        <v>47880</v>
      </c>
      <c r="E117" s="19" t="str">
        <f t="shared" si="14"/>
        <v>2-2031</v>
      </c>
      <c r="F117" s="214">
        <v>5.1588664297555438</v>
      </c>
      <c r="G117" s="214">
        <v>1.2154000171078221</v>
      </c>
      <c r="H117" s="214">
        <v>6.3742664468633663</v>
      </c>
      <c r="I117" s="214">
        <v>5.4178283402564391</v>
      </c>
      <c r="J117" s="214">
        <v>2.0069193558105667</v>
      </c>
      <c r="K117" s="214">
        <v>7.4247476960670058</v>
      </c>
      <c r="L117" s="214">
        <v>5.6136109822973985</v>
      </c>
      <c r="M117" s="214">
        <v>0.94777586863298213</v>
      </c>
      <c r="N117" s="214">
        <v>6.561386850930381</v>
      </c>
      <c r="O117" s="19"/>
      <c r="P117" s="226">
        <f t="shared" si="15"/>
        <v>5.3967685841031274</v>
      </c>
      <c r="Q117" s="226">
        <f t="shared" si="16"/>
        <v>6.7868003312869165</v>
      </c>
      <c r="R117" s="144"/>
    </row>
    <row r="118" spans="2:18">
      <c r="B118" s="142">
        <f t="shared" si="12"/>
        <v>2031</v>
      </c>
      <c r="C118" s="19">
        <f t="shared" si="13"/>
        <v>3</v>
      </c>
      <c r="D118" s="143">
        <v>47908</v>
      </c>
      <c r="E118" s="19" t="str">
        <f t="shared" si="14"/>
        <v>3-2031</v>
      </c>
      <c r="F118" s="214">
        <v>4.7357150324815516</v>
      </c>
      <c r="G118" s="214">
        <v>1.2154000171078221</v>
      </c>
      <c r="H118" s="214">
        <v>5.9511150495893741</v>
      </c>
      <c r="I118" s="214">
        <v>4.9734524138583529</v>
      </c>
      <c r="J118" s="214">
        <v>2.0069193558105667</v>
      </c>
      <c r="K118" s="214">
        <v>6.9803717696689196</v>
      </c>
      <c r="L118" s="214">
        <v>5.1532158573497826</v>
      </c>
      <c r="M118" s="214">
        <v>0.94777586863298213</v>
      </c>
      <c r="N118" s="214">
        <v>6.1009917259827651</v>
      </c>
      <c r="O118" s="19"/>
      <c r="P118" s="226">
        <f t="shared" si="15"/>
        <v>4.9541277678965621</v>
      </c>
      <c r="Q118" s="226">
        <f t="shared" si="16"/>
        <v>6.3441595150803529</v>
      </c>
      <c r="R118" s="144"/>
    </row>
    <row r="119" spans="2:18">
      <c r="B119" s="142">
        <f t="shared" si="12"/>
        <v>2031</v>
      </c>
      <c r="C119" s="19">
        <f t="shared" si="13"/>
        <v>4</v>
      </c>
      <c r="D119" s="143">
        <v>47939</v>
      </c>
      <c r="E119" s="19" t="str">
        <f t="shared" si="14"/>
        <v>4-2031</v>
      </c>
      <c r="F119" s="214">
        <v>4.6549989178881361</v>
      </c>
      <c r="G119" s="214">
        <v>1.2154000171078221</v>
      </c>
      <c r="H119" s="214">
        <v>5.8703989349959578</v>
      </c>
      <c r="I119" s="214">
        <v>4.8887005829834234</v>
      </c>
      <c r="J119" s="214">
        <v>2.0069193558105667</v>
      </c>
      <c r="K119" s="214">
        <v>6.89561993879399</v>
      </c>
      <c r="L119" s="214">
        <v>5.0654391422272083</v>
      </c>
      <c r="M119" s="214">
        <v>0.94777586863298213</v>
      </c>
      <c r="N119" s="214">
        <v>6.0132150108601907</v>
      </c>
      <c r="O119" s="19"/>
      <c r="P119" s="226">
        <f t="shared" si="15"/>
        <v>4.869712881032922</v>
      </c>
      <c r="Q119" s="226">
        <f t="shared" si="16"/>
        <v>6.2597446282167128</v>
      </c>
      <c r="R119" s="144"/>
    </row>
    <row r="120" spans="2:18">
      <c r="B120" s="142">
        <f t="shared" si="12"/>
        <v>2031</v>
      </c>
      <c r="C120" s="19">
        <f t="shared" si="13"/>
        <v>5</v>
      </c>
      <c r="D120" s="143">
        <v>47969</v>
      </c>
      <c r="E120" s="19" t="str">
        <f t="shared" si="14"/>
        <v>5-2031</v>
      </c>
      <c r="F120" s="214">
        <v>4.8168660915638073</v>
      </c>
      <c r="G120" s="214">
        <v>1.2154000171078221</v>
      </c>
      <c r="H120" s="214">
        <v>6.0322661086716298</v>
      </c>
      <c r="I120" s="214">
        <v>5.0587110878953654</v>
      </c>
      <c r="J120" s="214">
        <v>2.0069193558105667</v>
      </c>
      <c r="K120" s="214">
        <v>7.0656304437059321</v>
      </c>
      <c r="L120" s="214">
        <v>5.2416357241065485</v>
      </c>
      <c r="M120" s="214">
        <v>0.94777586863298213</v>
      </c>
      <c r="N120" s="214">
        <v>6.189411592739531</v>
      </c>
      <c r="O120" s="19"/>
      <c r="P120" s="226">
        <f t="shared" si="15"/>
        <v>5.039070967855241</v>
      </c>
      <c r="Q120" s="226">
        <f t="shared" si="16"/>
        <v>6.4291027150390319</v>
      </c>
      <c r="R120" s="144"/>
    </row>
    <row r="121" spans="2:18">
      <c r="B121" s="142">
        <f t="shared" si="12"/>
        <v>2031</v>
      </c>
      <c r="C121" s="19">
        <f t="shared" si="13"/>
        <v>6</v>
      </c>
      <c r="D121" s="143">
        <v>48000</v>
      </c>
      <c r="E121" s="19" t="str">
        <f t="shared" si="14"/>
        <v>6-2031</v>
      </c>
      <c r="F121" s="214">
        <v>4.9412485075704682</v>
      </c>
      <c r="G121" s="214">
        <v>1.2154000171078221</v>
      </c>
      <c r="H121" s="214">
        <v>6.1566485246782907</v>
      </c>
      <c r="I121" s="214">
        <v>5.1893558075992861</v>
      </c>
      <c r="J121" s="214">
        <v>2.0069193558105667</v>
      </c>
      <c r="K121" s="214">
        <v>7.1962751634098527</v>
      </c>
      <c r="L121" s="214">
        <v>5.377045410877769</v>
      </c>
      <c r="M121" s="214">
        <v>0.94777586863298213</v>
      </c>
      <c r="N121" s="214">
        <v>6.3248212795107515</v>
      </c>
      <c r="O121" s="19"/>
      <c r="P121" s="226">
        <f t="shared" si="15"/>
        <v>5.169216575349175</v>
      </c>
      <c r="Q121" s="226">
        <f t="shared" si="16"/>
        <v>6.559248322532965</v>
      </c>
      <c r="R121" s="144"/>
    </row>
    <row r="122" spans="2:18">
      <c r="B122" s="142">
        <f t="shared" si="12"/>
        <v>2031</v>
      </c>
      <c r="C122" s="19">
        <f t="shared" si="13"/>
        <v>7</v>
      </c>
      <c r="D122" s="143">
        <v>48030</v>
      </c>
      <c r="E122" s="19" t="str">
        <f t="shared" si="14"/>
        <v>7-2031</v>
      </c>
      <c r="F122" s="214">
        <v>4.9803051772207105</v>
      </c>
      <c r="G122" s="214">
        <v>1.2154000171078221</v>
      </c>
      <c r="H122" s="214">
        <v>6.1957051943285322</v>
      </c>
      <c r="I122" s="214">
        <v>5.2303910259311746</v>
      </c>
      <c r="J122" s="214">
        <v>2.0069193558105667</v>
      </c>
      <c r="K122" s="214">
        <v>7.2373103817417412</v>
      </c>
      <c r="L122" s="214">
        <v>5.4196059385878863</v>
      </c>
      <c r="M122" s="214">
        <v>0.94777586863298213</v>
      </c>
      <c r="N122" s="214">
        <v>6.3673818072208688</v>
      </c>
      <c r="O122" s="19"/>
      <c r="P122" s="226">
        <f t="shared" si="15"/>
        <v>5.2101007139132571</v>
      </c>
      <c r="Q122" s="226">
        <f t="shared" si="16"/>
        <v>6.6001324610970471</v>
      </c>
      <c r="R122" s="144"/>
    </row>
    <row r="123" spans="2:18">
      <c r="B123" s="142">
        <f t="shared" si="12"/>
        <v>2031</v>
      </c>
      <c r="C123" s="19">
        <f t="shared" si="13"/>
        <v>8</v>
      </c>
      <c r="D123" s="143">
        <v>48061</v>
      </c>
      <c r="E123" s="19" t="str">
        <f t="shared" si="14"/>
        <v>8-2031</v>
      </c>
      <c r="F123" s="214">
        <v>4.9416936290996496</v>
      </c>
      <c r="G123" s="214">
        <v>1.2154000171078221</v>
      </c>
      <c r="H123" s="214">
        <v>6.1570936462074712</v>
      </c>
      <c r="I123" s="214">
        <v>5.1898579236897087</v>
      </c>
      <c r="J123" s="214">
        <v>2.0069193558105667</v>
      </c>
      <c r="K123" s="214">
        <v>7.1967772795002753</v>
      </c>
      <c r="L123" s="214">
        <v>5.3776473351411802</v>
      </c>
      <c r="M123" s="214">
        <v>0.94777586863298213</v>
      </c>
      <c r="N123" s="214">
        <v>6.3254232037741627</v>
      </c>
      <c r="O123" s="19"/>
      <c r="P123" s="226">
        <f t="shared" si="15"/>
        <v>5.1697329626435122</v>
      </c>
      <c r="Q123" s="226">
        <f t="shared" si="16"/>
        <v>6.5597647098273031</v>
      </c>
      <c r="R123" s="144"/>
    </row>
    <row r="124" spans="2:18">
      <c r="B124" s="142">
        <f t="shared" si="12"/>
        <v>2031</v>
      </c>
      <c r="C124" s="19">
        <f t="shared" si="13"/>
        <v>9</v>
      </c>
      <c r="D124" s="143">
        <v>48092</v>
      </c>
      <c r="E124" s="19" t="str">
        <f t="shared" si="14"/>
        <v>9-2031</v>
      </c>
      <c r="F124" s="214">
        <v>5.0110576449791377</v>
      </c>
      <c r="G124" s="214">
        <v>1.2154000171078221</v>
      </c>
      <c r="H124" s="214">
        <v>6.2264576620869594</v>
      </c>
      <c r="I124" s="214">
        <v>5.2627228633909908</v>
      </c>
      <c r="J124" s="214">
        <v>2.0069193558105667</v>
      </c>
      <c r="K124" s="214">
        <v>7.2696422192015575</v>
      </c>
      <c r="L124" s="214">
        <v>5.4531902194059985</v>
      </c>
      <c r="M124" s="214">
        <v>0.94777586863298213</v>
      </c>
      <c r="N124" s="214">
        <v>6.4009660880389809</v>
      </c>
      <c r="O124" s="19"/>
      <c r="P124" s="226">
        <f t="shared" si="15"/>
        <v>5.2423235759253757</v>
      </c>
      <c r="Q124" s="226">
        <f t="shared" si="16"/>
        <v>6.6323553231091665</v>
      </c>
      <c r="R124" s="144"/>
    </row>
    <row r="125" spans="2:18">
      <c r="B125" s="142">
        <f t="shared" si="12"/>
        <v>2031</v>
      </c>
      <c r="C125" s="19">
        <f t="shared" si="13"/>
        <v>10</v>
      </c>
      <c r="D125" s="143">
        <v>48122</v>
      </c>
      <c r="E125" s="19" t="str">
        <f t="shared" si="14"/>
        <v>10-2031</v>
      </c>
      <c r="F125" s="214">
        <v>4.9820369946023781</v>
      </c>
      <c r="G125" s="214">
        <v>1.2154000171078221</v>
      </c>
      <c r="H125" s="214">
        <v>6.1974370117101998</v>
      </c>
      <c r="I125" s="214">
        <v>5.2322622083758175</v>
      </c>
      <c r="J125" s="214">
        <v>2.0069193558105667</v>
      </c>
      <c r="K125" s="214">
        <v>7.2391815641863841</v>
      </c>
      <c r="L125" s="214">
        <v>5.421668309996881</v>
      </c>
      <c r="M125" s="214">
        <v>0.94777586863298213</v>
      </c>
      <c r="N125" s="214">
        <v>6.3694441786298635</v>
      </c>
      <c r="O125" s="19"/>
      <c r="P125" s="226">
        <f t="shared" si="15"/>
        <v>5.2119891709916928</v>
      </c>
      <c r="Q125" s="226">
        <f t="shared" si="16"/>
        <v>6.6020209181754828</v>
      </c>
      <c r="R125" s="144"/>
    </row>
    <row r="126" spans="2:18">
      <c r="B126" s="142">
        <f t="shared" si="12"/>
        <v>2031</v>
      </c>
      <c r="C126" s="19">
        <f t="shared" si="13"/>
        <v>11</v>
      </c>
      <c r="D126" s="143">
        <v>48153</v>
      </c>
      <c r="E126" s="19" t="str">
        <f t="shared" si="14"/>
        <v>11-2031</v>
      </c>
      <c r="F126" s="214">
        <v>5.228131810608895</v>
      </c>
      <c r="G126" s="214">
        <v>1.2154000171078221</v>
      </c>
      <c r="H126" s="214">
        <v>6.4435318277167166</v>
      </c>
      <c r="I126" s="214">
        <v>5.4907355906684225</v>
      </c>
      <c r="J126" s="214">
        <v>2.0069193558105667</v>
      </c>
      <c r="K126" s="214">
        <v>7.4976549464789892</v>
      </c>
      <c r="L126" s="214">
        <v>5.6895415511791994</v>
      </c>
      <c r="M126" s="214">
        <v>0.94777586863298213</v>
      </c>
      <c r="N126" s="214">
        <v>6.6373174198121818</v>
      </c>
      <c r="O126" s="19"/>
      <c r="P126" s="226">
        <f t="shared" si="15"/>
        <v>5.4694696508188398</v>
      </c>
      <c r="Q126" s="226">
        <f t="shared" si="16"/>
        <v>6.8595013980026289</v>
      </c>
      <c r="R126" s="144"/>
    </row>
    <row r="127" spans="2:18">
      <c r="B127" s="142">
        <f t="shared" si="12"/>
        <v>2031</v>
      </c>
      <c r="C127" s="19">
        <f t="shared" si="13"/>
        <v>12</v>
      </c>
      <c r="D127" s="143">
        <v>48183</v>
      </c>
      <c r="E127" s="19" t="str">
        <f t="shared" si="14"/>
        <v>12-2031</v>
      </c>
      <c r="F127" s="214">
        <v>5.2700313735774422</v>
      </c>
      <c r="G127" s="214">
        <v>1.2154000171078221</v>
      </c>
      <c r="H127" s="214">
        <v>6.4854313906852639</v>
      </c>
      <c r="I127" s="214">
        <v>5.5347582112426403</v>
      </c>
      <c r="J127" s="214">
        <v>2.0069193558105667</v>
      </c>
      <c r="K127" s="214">
        <v>7.541677567053207</v>
      </c>
      <c r="L127" s="214">
        <v>5.7352016852215062</v>
      </c>
      <c r="M127" s="214">
        <v>0.94777586863298213</v>
      </c>
      <c r="N127" s="214">
        <v>6.6829775538544887</v>
      </c>
      <c r="O127" s="19"/>
      <c r="P127" s="226">
        <f t="shared" si="15"/>
        <v>5.5133304233471963</v>
      </c>
      <c r="Q127" s="226">
        <f t="shared" si="16"/>
        <v>6.9033621705309862</v>
      </c>
      <c r="R127" s="144"/>
    </row>
    <row r="128" spans="2:18">
      <c r="B128" s="142">
        <f t="shared" si="12"/>
        <v>2032</v>
      </c>
      <c r="C128" s="19">
        <f t="shared" si="13"/>
        <v>1</v>
      </c>
      <c r="D128" s="143">
        <v>48214</v>
      </c>
      <c r="E128" s="19" t="str">
        <f t="shared" si="14"/>
        <v>1-2032</v>
      </c>
      <c r="F128" s="214">
        <v>5.2702383156999097</v>
      </c>
      <c r="G128" s="214">
        <v>1.2640160177921353</v>
      </c>
      <c r="H128" s="214">
        <v>6.5342543334920453</v>
      </c>
      <c r="I128" s="214">
        <v>5.5350040122717985</v>
      </c>
      <c r="J128" s="214">
        <v>2.0871961300429893</v>
      </c>
      <c r="K128" s="214">
        <v>7.6222001423147878</v>
      </c>
      <c r="L128" s="214">
        <v>5.7356530978369626</v>
      </c>
      <c r="M128" s="214">
        <v>0.98568690337830167</v>
      </c>
      <c r="N128" s="214">
        <v>6.721340001215264</v>
      </c>
      <c r="O128" s="19"/>
      <c r="P128" s="226">
        <f t="shared" si="15"/>
        <v>5.5136318086028906</v>
      </c>
      <c r="Q128" s="226">
        <f t="shared" si="16"/>
        <v>6.9592648256740324</v>
      </c>
      <c r="R128" s="144"/>
    </row>
    <row r="129" spans="2:18">
      <c r="B129" s="142">
        <f t="shared" si="12"/>
        <v>2032</v>
      </c>
      <c r="C129" s="19">
        <f t="shared" si="13"/>
        <v>2</v>
      </c>
      <c r="D129" s="143">
        <v>48245</v>
      </c>
      <c r="E129" s="19" t="str">
        <f t="shared" si="14"/>
        <v>2-2032</v>
      </c>
      <c r="F129" s="214">
        <v>5.1545894158740087</v>
      </c>
      <c r="G129" s="214">
        <v>1.2640160177921353</v>
      </c>
      <c r="H129" s="214">
        <v>6.4186054336661442</v>
      </c>
      <c r="I129" s="214">
        <v>5.413572997248985</v>
      </c>
      <c r="J129" s="214">
        <v>2.0871961300429893</v>
      </c>
      <c r="K129" s="214">
        <v>7.5007691272919743</v>
      </c>
      <c r="L129" s="214">
        <v>5.6100125103131617</v>
      </c>
      <c r="M129" s="214">
        <v>0.98568690337830167</v>
      </c>
      <c r="N129" s="214">
        <v>6.5956994136914631</v>
      </c>
      <c r="O129" s="19"/>
      <c r="P129" s="226">
        <f t="shared" si="15"/>
        <v>5.3927249744787185</v>
      </c>
      <c r="Q129" s="226">
        <f t="shared" si="16"/>
        <v>6.8383579915498602</v>
      </c>
      <c r="R129" s="144"/>
    </row>
    <row r="130" spans="2:18">
      <c r="B130" s="142">
        <f t="shared" si="12"/>
        <v>2032</v>
      </c>
      <c r="C130" s="19">
        <f t="shared" si="13"/>
        <v>3</v>
      </c>
      <c r="D130" s="143">
        <v>48274</v>
      </c>
      <c r="E130" s="19" t="str">
        <f t="shared" si="14"/>
        <v>3-2032</v>
      </c>
      <c r="F130" s="214">
        <v>4.7318358994054179</v>
      </c>
      <c r="G130" s="214">
        <v>1.2640160177921353</v>
      </c>
      <c r="H130" s="214">
        <v>5.9958519171975535</v>
      </c>
      <c r="I130" s="214">
        <v>4.9696045111915188</v>
      </c>
      <c r="J130" s="214">
        <v>2.0871961300429893</v>
      </c>
      <c r="K130" s="214">
        <v>7.0568006412345081</v>
      </c>
      <c r="L130" s="214">
        <v>5.1501106255422817</v>
      </c>
      <c r="M130" s="214">
        <v>0.98568690337830167</v>
      </c>
      <c r="N130" s="214">
        <v>6.1357975289205831</v>
      </c>
      <c r="O130" s="19"/>
      <c r="P130" s="226">
        <f t="shared" si="15"/>
        <v>4.950517012046407</v>
      </c>
      <c r="Q130" s="226">
        <f t="shared" si="16"/>
        <v>6.3961500291175488</v>
      </c>
      <c r="R130" s="144"/>
    </row>
    <row r="131" spans="2:18">
      <c r="B131" s="142">
        <f t="shared" si="12"/>
        <v>2032</v>
      </c>
      <c r="C131" s="19">
        <f t="shared" si="13"/>
        <v>4</v>
      </c>
      <c r="D131" s="143">
        <v>48305</v>
      </c>
      <c r="E131" s="19" t="str">
        <f t="shared" si="14"/>
        <v>4-2032</v>
      </c>
      <c r="F131" s="214">
        <v>4.6512321682176729</v>
      </c>
      <c r="G131" s="214">
        <v>1.2640160177921353</v>
      </c>
      <c r="H131" s="214">
        <v>5.9152481860098085</v>
      </c>
      <c r="I131" s="214">
        <v>4.8849756768432959</v>
      </c>
      <c r="J131" s="214">
        <v>2.0871961300429893</v>
      </c>
      <c r="K131" s="214">
        <v>6.9721718068862852</v>
      </c>
      <c r="L131" s="214">
        <v>5.0625815665893432</v>
      </c>
      <c r="M131" s="214">
        <v>0.98568690337830167</v>
      </c>
      <c r="N131" s="214">
        <v>6.0482684699676446</v>
      </c>
      <c r="O131" s="19"/>
      <c r="P131" s="226">
        <f t="shared" si="15"/>
        <v>4.8662631372167704</v>
      </c>
      <c r="Q131" s="226">
        <f t="shared" si="16"/>
        <v>6.3118961542879122</v>
      </c>
      <c r="R131" s="144"/>
    </row>
    <row r="132" spans="2:18">
      <c r="B132" s="142">
        <f t="shared" si="12"/>
        <v>2032</v>
      </c>
      <c r="C132" s="19">
        <f t="shared" si="13"/>
        <v>5</v>
      </c>
      <c r="D132" s="143">
        <v>48335</v>
      </c>
      <c r="E132" s="19" t="str">
        <f t="shared" si="14"/>
        <v>5-2032</v>
      </c>
      <c r="F132" s="214">
        <v>4.8130162441873825</v>
      </c>
      <c r="G132" s="214">
        <v>1.2640160177921353</v>
      </c>
      <c r="H132" s="214">
        <v>6.0770322619795181</v>
      </c>
      <c r="I132" s="214">
        <v>5.0549160736697161</v>
      </c>
      <c r="J132" s="214">
        <v>2.0871961300429893</v>
      </c>
      <c r="K132" s="214">
        <v>7.1421122037127054</v>
      </c>
      <c r="L132" s="214">
        <v>5.2388803127098029</v>
      </c>
      <c r="M132" s="214">
        <v>0.98568690337830167</v>
      </c>
      <c r="N132" s="214">
        <v>6.2245672160881043</v>
      </c>
      <c r="O132" s="19"/>
      <c r="P132" s="226">
        <f t="shared" si="15"/>
        <v>5.0356042101889669</v>
      </c>
      <c r="Q132" s="226">
        <f t="shared" si="16"/>
        <v>6.4812372272601095</v>
      </c>
      <c r="R132" s="144"/>
    </row>
    <row r="133" spans="2:18">
      <c r="B133" s="142">
        <f t="shared" si="12"/>
        <v>2032</v>
      </c>
      <c r="C133" s="19">
        <f t="shared" si="13"/>
        <v>6</v>
      </c>
      <c r="D133" s="143">
        <v>48366</v>
      </c>
      <c r="E133" s="19" t="str">
        <f t="shared" si="14"/>
        <v>6-2032</v>
      </c>
      <c r="F133" s="214">
        <v>4.9373483743733031</v>
      </c>
      <c r="G133" s="214">
        <v>1.2640160177921353</v>
      </c>
      <c r="H133" s="214">
        <v>6.2013643921654387</v>
      </c>
      <c r="I133" s="214">
        <v>5.1855237575991504</v>
      </c>
      <c r="J133" s="214">
        <v>2.0871961300429893</v>
      </c>
      <c r="K133" s="214">
        <v>7.2727198876421397</v>
      </c>
      <c r="L133" s="214">
        <v>5.3744256117717111</v>
      </c>
      <c r="M133" s="214">
        <v>0.98568690337830167</v>
      </c>
      <c r="N133" s="214">
        <v>6.3601125151500124</v>
      </c>
      <c r="O133" s="19"/>
      <c r="P133" s="226">
        <f t="shared" si="15"/>
        <v>5.1657659145813879</v>
      </c>
      <c r="Q133" s="226">
        <f t="shared" si="16"/>
        <v>6.6113989316525306</v>
      </c>
      <c r="R133" s="144"/>
    </row>
    <row r="134" spans="2:18">
      <c r="B134" s="142">
        <f t="shared" si="12"/>
        <v>2032</v>
      </c>
      <c r="C134" s="19">
        <f t="shared" si="13"/>
        <v>7</v>
      </c>
      <c r="D134" s="143">
        <v>48396</v>
      </c>
      <c r="E134" s="19" t="str">
        <f t="shared" si="14"/>
        <v>7-2032</v>
      </c>
      <c r="F134" s="214">
        <v>4.9764237378370613</v>
      </c>
      <c r="G134" s="214">
        <v>1.2640160177921353</v>
      </c>
      <c r="H134" s="214">
        <v>6.2404397556291968</v>
      </c>
      <c r="I134" s="214">
        <v>5.226590137246256</v>
      </c>
      <c r="J134" s="214">
        <v>2.0871961300429893</v>
      </c>
      <c r="K134" s="214">
        <v>7.3137862672892453</v>
      </c>
      <c r="L134" s="214">
        <v>5.4171738591057794</v>
      </c>
      <c r="M134" s="214">
        <v>0.98568690337830167</v>
      </c>
      <c r="N134" s="214">
        <v>6.4028607624840808</v>
      </c>
      <c r="O134" s="19"/>
      <c r="P134" s="226">
        <f t="shared" si="15"/>
        <v>5.2067292447296998</v>
      </c>
      <c r="Q134" s="226">
        <f t="shared" si="16"/>
        <v>6.6523622618008416</v>
      </c>
      <c r="R134" s="144"/>
    </row>
    <row r="135" spans="2:18">
      <c r="B135" s="142">
        <f t="shared" si="12"/>
        <v>2032</v>
      </c>
      <c r="C135" s="19">
        <f t="shared" si="13"/>
        <v>8</v>
      </c>
      <c r="D135" s="143">
        <v>48427</v>
      </c>
      <c r="E135" s="19" t="str">
        <f t="shared" si="14"/>
        <v>8-2032</v>
      </c>
      <c r="F135" s="214">
        <v>4.9378914262384797</v>
      </c>
      <c r="G135" s="214">
        <v>1.2640160177921353</v>
      </c>
      <c r="H135" s="214">
        <v>6.2019074440306152</v>
      </c>
      <c r="I135" s="214">
        <v>5.18614748557696</v>
      </c>
      <c r="J135" s="214">
        <v>2.0871961300429893</v>
      </c>
      <c r="K135" s="214">
        <v>7.2733436156199494</v>
      </c>
      <c r="L135" s="214">
        <v>5.375440951644098</v>
      </c>
      <c r="M135" s="214">
        <v>0.98568690337830167</v>
      </c>
      <c r="N135" s="214">
        <v>6.3611278550223993</v>
      </c>
      <c r="O135" s="19"/>
      <c r="P135" s="226">
        <f t="shared" si="15"/>
        <v>5.1664932878198462</v>
      </c>
      <c r="Q135" s="226">
        <f t="shared" si="16"/>
        <v>6.612126304890988</v>
      </c>
      <c r="R135" s="144"/>
    </row>
    <row r="136" spans="2:18">
      <c r="B136" s="142">
        <f t="shared" si="12"/>
        <v>2032</v>
      </c>
      <c r="C136" s="19">
        <f t="shared" si="13"/>
        <v>9</v>
      </c>
      <c r="D136" s="143">
        <v>48458</v>
      </c>
      <c r="E136" s="19" t="str">
        <f t="shared" si="14"/>
        <v>9-2032</v>
      </c>
      <c r="F136" s="214">
        <v>5.0072519137314409</v>
      </c>
      <c r="G136" s="214">
        <v>1.2640160177921353</v>
      </c>
      <c r="H136" s="214">
        <v>6.2712679315235764</v>
      </c>
      <c r="I136" s="214">
        <v>5.2590221913645836</v>
      </c>
      <c r="J136" s="214">
        <v>2.0871961300429893</v>
      </c>
      <c r="K136" s="214">
        <v>7.3462183214075729</v>
      </c>
      <c r="L136" s="214">
        <v>5.4511626394880413</v>
      </c>
      <c r="M136" s="214">
        <v>0.98568690337830167</v>
      </c>
      <c r="N136" s="214">
        <v>6.4368495428663426</v>
      </c>
      <c r="O136" s="19"/>
      <c r="P136" s="226">
        <f t="shared" si="15"/>
        <v>5.2391455815280219</v>
      </c>
      <c r="Q136" s="226">
        <f t="shared" si="16"/>
        <v>6.6847785985991637</v>
      </c>
      <c r="R136" s="144"/>
    </row>
    <row r="137" spans="2:18">
      <c r="B137" s="142">
        <f t="shared" ref="B137:B200" si="17">YEAR(D137)</f>
        <v>2032</v>
      </c>
      <c r="C137" s="19">
        <f t="shared" ref="C137:C200" si="18">MONTH(D137)</f>
        <v>10</v>
      </c>
      <c r="D137" s="143">
        <v>48488</v>
      </c>
      <c r="E137" s="19" t="str">
        <f t="shared" ref="E137:E200" si="19">C137&amp;"-"&amp;B137</f>
        <v>10-2032</v>
      </c>
      <c r="F137" s="214">
        <v>4.9783028631236048</v>
      </c>
      <c r="G137" s="214">
        <v>1.2640160177921353</v>
      </c>
      <c r="H137" s="214">
        <v>6.2423188809157404</v>
      </c>
      <c r="I137" s="214">
        <v>5.2286444662618221</v>
      </c>
      <c r="J137" s="214">
        <v>2.0871961300429893</v>
      </c>
      <c r="K137" s="214">
        <v>7.3158405963048114</v>
      </c>
      <c r="L137" s="214">
        <v>5.4198610605630826</v>
      </c>
      <c r="M137" s="214">
        <v>0.98568690337830167</v>
      </c>
      <c r="N137" s="214">
        <v>6.4055479639413839</v>
      </c>
      <c r="O137" s="19"/>
      <c r="P137" s="226">
        <f t="shared" ref="P137:P200" si="20">AVERAGE(F137,I137,L137)</f>
        <v>5.2089361299828365</v>
      </c>
      <c r="Q137" s="226">
        <f t="shared" ref="Q137:Q200" si="21">AVERAGE(H137,K137,N137)</f>
        <v>6.6545691470539792</v>
      </c>
      <c r="R137" s="144"/>
    </row>
    <row r="138" spans="2:18">
      <c r="B138" s="142">
        <f t="shared" si="17"/>
        <v>2032</v>
      </c>
      <c r="C138" s="19">
        <f t="shared" si="18"/>
        <v>11</v>
      </c>
      <c r="D138" s="143">
        <v>48519</v>
      </c>
      <c r="E138" s="19" t="str">
        <f t="shared" si="19"/>
        <v>11-2032</v>
      </c>
      <c r="F138" s="214">
        <v>5.2242652413663793</v>
      </c>
      <c r="G138" s="214">
        <v>1.2640160177921353</v>
      </c>
      <c r="H138" s="214">
        <v>6.4882812591585148</v>
      </c>
      <c r="I138" s="214">
        <v>5.4870036900814352</v>
      </c>
      <c r="J138" s="214">
        <v>2.0871961300429893</v>
      </c>
      <c r="K138" s="214">
        <v>7.5741998201244245</v>
      </c>
      <c r="L138" s="214">
        <v>5.687863952701691</v>
      </c>
      <c r="M138" s="214">
        <v>0.98568690337830167</v>
      </c>
      <c r="N138" s="214">
        <v>6.6735508560799923</v>
      </c>
      <c r="O138" s="19"/>
      <c r="P138" s="226">
        <f t="shared" si="20"/>
        <v>5.4663776280498348</v>
      </c>
      <c r="Q138" s="226">
        <f t="shared" si="21"/>
        <v>6.9120106451209766</v>
      </c>
      <c r="R138" s="144"/>
    </row>
    <row r="139" spans="2:18">
      <c r="B139" s="142">
        <f t="shared" si="17"/>
        <v>2032</v>
      </c>
      <c r="C139" s="19">
        <f t="shared" si="18"/>
        <v>12</v>
      </c>
      <c r="D139" s="143">
        <v>48549</v>
      </c>
      <c r="E139" s="19" t="str">
        <f t="shared" si="19"/>
        <v>12-2032</v>
      </c>
      <c r="F139" s="214">
        <v>5.2661862559439356</v>
      </c>
      <c r="G139" s="214">
        <v>1.2640160177921353</v>
      </c>
      <c r="H139" s="214">
        <v>6.5302022737360712</v>
      </c>
      <c r="I139" s="214">
        <v>5.5310614738131108</v>
      </c>
      <c r="J139" s="214">
        <v>2.0871961300429893</v>
      </c>
      <c r="K139" s="214">
        <v>7.6182576038561001</v>
      </c>
      <c r="L139" s="214">
        <v>5.73373135041584</v>
      </c>
      <c r="M139" s="214">
        <v>0.98568690337830167</v>
      </c>
      <c r="N139" s="214">
        <v>6.7194182537941414</v>
      </c>
      <c r="O139" s="19"/>
      <c r="P139" s="226">
        <f t="shared" si="20"/>
        <v>5.5103263600576291</v>
      </c>
      <c r="Q139" s="226">
        <f t="shared" si="21"/>
        <v>6.9559593771287709</v>
      </c>
      <c r="R139" s="144"/>
    </row>
    <row r="140" spans="2:18">
      <c r="B140" s="142">
        <f t="shared" si="17"/>
        <v>2033</v>
      </c>
      <c r="C140" s="19">
        <f t="shared" si="18"/>
        <v>1</v>
      </c>
      <c r="D140" s="143">
        <v>48580</v>
      </c>
      <c r="E140" s="19" t="str">
        <f t="shared" si="19"/>
        <v>1-2033</v>
      </c>
      <c r="F140" s="214">
        <v>5.2661953268630803</v>
      </c>
      <c r="G140" s="214">
        <v>1.314576658503821</v>
      </c>
      <c r="H140" s="214">
        <v>6.5807719853669013</v>
      </c>
      <c r="I140" s="214">
        <v>5.5310039460524756</v>
      </c>
      <c r="J140" s="214">
        <v>2.1706839752447089</v>
      </c>
      <c r="K140" s="214">
        <v>7.701687921297184</v>
      </c>
      <c r="L140" s="214">
        <v>5.7341309698374383</v>
      </c>
      <c r="M140" s="214">
        <v>1.0251143795134334</v>
      </c>
      <c r="N140" s="214">
        <v>6.7592453493508717</v>
      </c>
      <c r="O140" s="19"/>
      <c r="P140" s="226">
        <f t="shared" si="20"/>
        <v>5.5104434142509975</v>
      </c>
      <c r="Q140" s="226">
        <f t="shared" si="21"/>
        <v>7.013901752004986</v>
      </c>
      <c r="R140" s="144"/>
    </row>
    <row r="141" spans="2:18">
      <c r="B141" s="142">
        <f t="shared" si="17"/>
        <v>2033</v>
      </c>
      <c r="C141" s="19">
        <f t="shared" si="18"/>
        <v>2</v>
      </c>
      <c r="D141" s="143">
        <v>48611</v>
      </c>
      <c r="E141" s="19" t="str">
        <f t="shared" si="19"/>
        <v>2-2033</v>
      </c>
      <c r="F141" s="214">
        <v>5.150441740450157</v>
      </c>
      <c r="G141" s="214">
        <v>1.314576658503821</v>
      </c>
      <c r="H141" s="214">
        <v>6.465018398953978</v>
      </c>
      <c r="I141" s="214">
        <v>5.4093641408656801</v>
      </c>
      <c r="J141" s="214">
        <v>2.1706839752447089</v>
      </c>
      <c r="K141" s="214">
        <v>7.5800481161103885</v>
      </c>
      <c r="L141" s="214">
        <v>5.6084731772009961</v>
      </c>
      <c r="M141" s="214">
        <v>1.0251143795134334</v>
      </c>
      <c r="N141" s="214">
        <v>6.6335875567144296</v>
      </c>
      <c r="O141" s="19"/>
      <c r="P141" s="226">
        <f t="shared" si="20"/>
        <v>5.389426352838945</v>
      </c>
      <c r="Q141" s="226">
        <f t="shared" si="21"/>
        <v>6.8928846905929317</v>
      </c>
      <c r="R141" s="144"/>
    </row>
    <row r="142" spans="2:18">
      <c r="B142" s="142">
        <f t="shared" si="17"/>
        <v>2033</v>
      </c>
      <c r="C142" s="19">
        <f t="shared" si="18"/>
        <v>3</v>
      </c>
      <c r="D142" s="143">
        <v>48639</v>
      </c>
      <c r="E142" s="19" t="str">
        <f t="shared" si="19"/>
        <v>3-2033</v>
      </c>
      <c r="F142" s="214">
        <v>4.7278508309800404</v>
      </c>
      <c r="G142" s="214">
        <v>1.314576658503821</v>
      </c>
      <c r="H142" s="214">
        <v>6.0424274894838614</v>
      </c>
      <c r="I142" s="214">
        <v>4.9654685671541037</v>
      </c>
      <c r="J142" s="214">
        <v>2.1706839752447089</v>
      </c>
      <c r="K142" s="214">
        <v>7.136152542398813</v>
      </c>
      <c r="L142" s="214">
        <v>5.148651079282538</v>
      </c>
      <c r="M142" s="214">
        <v>1.0251143795134334</v>
      </c>
      <c r="N142" s="214">
        <v>6.1737654587959714</v>
      </c>
      <c r="O142" s="19"/>
      <c r="P142" s="226">
        <f t="shared" si="20"/>
        <v>4.9473234924722265</v>
      </c>
      <c r="Q142" s="226">
        <f t="shared" si="21"/>
        <v>6.450781830226215</v>
      </c>
      <c r="R142" s="144"/>
    </row>
    <row r="143" spans="2:18">
      <c r="B143" s="142">
        <f t="shared" si="17"/>
        <v>2033</v>
      </c>
      <c r="C143" s="19">
        <f t="shared" si="18"/>
        <v>4</v>
      </c>
      <c r="D143" s="143">
        <v>48670</v>
      </c>
      <c r="E143" s="19" t="str">
        <f t="shared" si="19"/>
        <v>4-2033</v>
      </c>
      <c r="F143" s="214">
        <v>4.6471404217998344</v>
      </c>
      <c r="G143" s="214">
        <v>1.314576658503821</v>
      </c>
      <c r="H143" s="214">
        <v>5.9617170803036554</v>
      </c>
      <c r="I143" s="214">
        <v>4.880642514513502</v>
      </c>
      <c r="J143" s="214">
        <v>2.1706839752447089</v>
      </c>
      <c r="K143" s="214">
        <v>7.0513264897582104</v>
      </c>
      <c r="L143" s="214">
        <v>5.0611012071198784</v>
      </c>
      <c r="M143" s="214">
        <v>1.0251143795134334</v>
      </c>
      <c r="N143" s="214">
        <v>6.0862155866333119</v>
      </c>
      <c r="O143" s="19"/>
      <c r="P143" s="226">
        <f t="shared" si="20"/>
        <v>4.8629613811444052</v>
      </c>
      <c r="Q143" s="226">
        <f t="shared" si="21"/>
        <v>6.366419718898392</v>
      </c>
      <c r="R143" s="144"/>
    </row>
    <row r="144" spans="2:18">
      <c r="B144" s="142">
        <f t="shared" si="17"/>
        <v>2033</v>
      </c>
      <c r="C144" s="19">
        <f t="shared" si="18"/>
        <v>5</v>
      </c>
      <c r="D144" s="143">
        <v>48700</v>
      </c>
      <c r="E144" s="19" t="str">
        <f t="shared" si="19"/>
        <v>5-2033</v>
      </c>
      <c r="F144" s="214">
        <v>4.8086015195521998</v>
      </c>
      <c r="G144" s="214">
        <v>1.314576658503821</v>
      </c>
      <c r="H144" s="214">
        <v>6.1231781780560208</v>
      </c>
      <c r="I144" s="214">
        <v>5.0501551751885145</v>
      </c>
      <c r="J144" s="214">
        <v>2.1706839752447089</v>
      </c>
      <c r="K144" s="214">
        <v>7.220839150433223</v>
      </c>
      <c r="L144" s="214">
        <v>5.2373011916985073</v>
      </c>
      <c r="M144" s="214">
        <v>1.0251143795134334</v>
      </c>
      <c r="N144" s="214">
        <v>6.2624155712119407</v>
      </c>
      <c r="O144" s="19"/>
      <c r="P144" s="226">
        <f t="shared" si="20"/>
        <v>5.0320192954797411</v>
      </c>
      <c r="Q144" s="226">
        <f t="shared" si="21"/>
        <v>6.5354776332337279</v>
      </c>
      <c r="R144" s="144"/>
    </row>
    <row r="145" spans="2:18">
      <c r="B145" s="142">
        <f t="shared" si="17"/>
        <v>2033</v>
      </c>
      <c r="C145" s="19">
        <f t="shared" si="18"/>
        <v>6</v>
      </c>
      <c r="D145" s="143">
        <v>48731</v>
      </c>
      <c r="E145" s="19" t="str">
        <f t="shared" si="19"/>
        <v>6-2033</v>
      </c>
      <c r="F145" s="214">
        <v>4.9326342623962836</v>
      </c>
      <c r="G145" s="214">
        <v>1.314576658503821</v>
      </c>
      <c r="H145" s="214">
        <v>6.2472109209001045</v>
      </c>
      <c r="I145" s="214">
        <v>5.1803556672360589</v>
      </c>
      <c r="J145" s="214">
        <v>2.1706839752447089</v>
      </c>
      <c r="K145" s="214">
        <v>7.3510396424807674</v>
      </c>
      <c r="L145" s="214">
        <v>5.3727572010373974</v>
      </c>
      <c r="M145" s="214">
        <v>1.0251143795134334</v>
      </c>
      <c r="N145" s="214">
        <v>6.3978715805508308</v>
      </c>
      <c r="O145" s="19"/>
      <c r="P145" s="226">
        <f t="shared" si="20"/>
        <v>5.1619157102232469</v>
      </c>
      <c r="Q145" s="226">
        <f t="shared" si="21"/>
        <v>6.6653740479772345</v>
      </c>
      <c r="R145" s="144"/>
    </row>
    <row r="146" spans="2:18">
      <c r="B146" s="142">
        <f t="shared" si="17"/>
        <v>2033</v>
      </c>
      <c r="C146" s="19">
        <f t="shared" si="18"/>
        <v>7</v>
      </c>
      <c r="D146" s="143">
        <v>48761</v>
      </c>
      <c r="E146" s="19" t="str">
        <f t="shared" si="19"/>
        <v>7-2033</v>
      </c>
      <c r="F146" s="214">
        <v>4.971485483588709</v>
      </c>
      <c r="G146" s="214">
        <v>1.314576658503821</v>
      </c>
      <c r="H146" s="214">
        <v>6.28606214209253</v>
      </c>
      <c r="I146" s="214">
        <v>5.2210946551653752</v>
      </c>
      <c r="J146" s="214">
        <v>2.1706839752447089</v>
      </c>
      <c r="K146" s="214">
        <v>7.3917786304100837</v>
      </c>
      <c r="L146" s="214">
        <v>5.4154433572866409</v>
      </c>
      <c r="M146" s="214">
        <v>1.0251143795134334</v>
      </c>
      <c r="N146" s="214">
        <v>6.4405577368000744</v>
      </c>
      <c r="O146" s="19"/>
      <c r="P146" s="226">
        <f t="shared" si="20"/>
        <v>5.202674498680242</v>
      </c>
      <c r="Q146" s="226">
        <f t="shared" si="21"/>
        <v>6.7061328364342288</v>
      </c>
      <c r="R146" s="144"/>
    </row>
    <row r="147" spans="2:18">
      <c r="B147" s="142">
        <f t="shared" si="17"/>
        <v>2033</v>
      </c>
      <c r="C147" s="19">
        <f t="shared" si="18"/>
        <v>8</v>
      </c>
      <c r="D147" s="143">
        <v>48792</v>
      </c>
      <c r="E147" s="19" t="str">
        <f t="shared" si="19"/>
        <v>8-2033</v>
      </c>
      <c r="F147" s="214">
        <v>4.9328059991951658</v>
      </c>
      <c r="G147" s="214">
        <v>1.314576658503821</v>
      </c>
      <c r="H147" s="214">
        <v>6.2473826576989868</v>
      </c>
      <c r="I147" s="214">
        <v>5.1804102483559573</v>
      </c>
      <c r="J147" s="214">
        <v>2.1706839752447089</v>
      </c>
      <c r="K147" s="214">
        <v>7.3510942236006667</v>
      </c>
      <c r="L147" s="214">
        <v>5.373675334800204</v>
      </c>
      <c r="M147" s="214">
        <v>1.0251143795134334</v>
      </c>
      <c r="N147" s="214">
        <v>6.3987897143136374</v>
      </c>
      <c r="O147" s="19"/>
      <c r="P147" s="226">
        <f t="shared" si="20"/>
        <v>5.1622971941171087</v>
      </c>
      <c r="Q147" s="226">
        <f t="shared" si="21"/>
        <v>6.6657555318710964</v>
      </c>
      <c r="R147" s="144"/>
    </row>
    <row r="148" spans="2:18">
      <c r="B148" s="142">
        <f t="shared" si="17"/>
        <v>2033</v>
      </c>
      <c r="C148" s="19">
        <f t="shared" si="18"/>
        <v>9</v>
      </c>
      <c r="D148" s="143">
        <v>48823</v>
      </c>
      <c r="E148" s="19" t="str">
        <f t="shared" si="19"/>
        <v>9-2033</v>
      </c>
      <c r="F148" s="214">
        <v>5.0019070170226341</v>
      </c>
      <c r="G148" s="214">
        <v>1.314576658503821</v>
      </c>
      <c r="H148" s="214">
        <v>6.3164836755264551</v>
      </c>
      <c r="I148" s="214">
        <v>5.2529160304636768</v>
      </c>
      <c r="J148" s="214">
        <v>2.1706839752447089</v>
      </c>
      <c r="K148" s="214">
        <v>7.4236000057083853</v>
      </c>
      <c r="L148" s="214">
        <v>5.4493230200681761</v>
      </c>
      <c r="M148" s="214">
        <v>1.0251143795134334</v>
      </c>
      <c r="N148" s="214">
        <v>6.4744373995816096</v>
      </c>
      <c r="O148" s="19"/>
      <c r="P148" s="226">
        <f t="shared" si="20"/>
        <v>5.2347153558514963</v>
      </c>
      <c r="Q148" s="226">
        <f t="shared" si="21"/>
        <v>6.738173693605483</v>
      </c>
      <c r="R148" s="144"/>
    </row>
    <row r="149" spans="2:18">
      <c r="B149" s="142">
        <f t="shared" si="17"/>
        <v>2033</v>
      </c>
      <c r="C149" s="19">
        <f t="shared" si="18"/>
        <v>10</v>
      </c>
      <c r="D149" s="143">
        <v>48853</v>
      </c>
      <c r="E149" s="19" t="str">
        <f t="shared" si="19"/>
        <v>10-2033</v>
      </c>
      <c r="F149" s="214">
        <v>4.9728018950994262</v>
      </c>
      <c r="G149" s="214">
        <v>1.314576658503821</v>
      </c>
      <c r="H149" s="214">
        <v>6.2873785536032472</v>
      </c>
      <c r="I149" s="214">
        <v>5.2222869046604012</v>
      </c>
      <c r="J149" s="214">
        <v>2.1706839752447089</v>
      </c>
      <c r="K149" s="214">
        <v>7.3929708799051106</v>
      </c>
      <c r="L149" s="214">
        <v>5.4179831535709058</v>
      </c>
      <c r="M149" s="214">
        <v>1.0251143795134334</v>
      </c>
      <c r="N149" s="214">
        <v>6.4430975330843392</v>
      </c>
      <c r="O149" s="19"/>
      <c r="P149" s="226">
        <f t="shared" si="20"/>
        <v>5.2043573177769105</v>
      </c>
      <c r="Q149" s="226">
        <f t="shared" si="21"/>
        <v>6.7078156555308981</v>
      </c>
      <c r="R149" s="144"/>
    </row>
    <row r="150" spans="2:18">
      <c r="B150" s="142">
        <f t="shared" si="17"/>
        <v>2033</v>
      </c>
      <c r="C150" s="19">
        <f t="shared" si="18"/>
        <v>11</v>
      </c>
      <c r="D150" s="143">
        <v>48884</v>
      </c>
      <c r="E150" s="19" t="str">
        <f t="shared" si="19"/>
        <v>11-2033</v>
      </c>
      <c r="F150" s="214">
        <v>5.2182962536795428</v>
      </c>
      <c r="G150" s="214">
        <v>1.314576658503821</v>
      </c>
      <c r="H150" s="214">
        <v>6.5328729121833637</v>
      </c>
      <c r="I150" s="214">
        <v>5.4800311165190303</v>
      </c>
      <c r="J150" s="214">
        <v>2.1706839752447089</v>
      </c>
      <c r="K150" s="214">
        <v>7.6507150917637397</v>
      </c>
      <c r="L150" s="214">
        <v>5.6858419176138097</v>
      </c>
      <c r="M150" s="214">
        <v>1.0251143795134334</v>
      </c>
      <c r="N150" s="214">
        <v>6.7109562971272432</v>
      </c>
      <c r="O150" s="19"/>
      <c r="P150" s="226">
        <f t="shared" si="20"/>
        <v>5.4613897626041279</v>
      </c>
      <c r="Q150" s="226">
        <f t="shared" si="21"/>
        <v>6.9648481003581155</v>
      </c>
      <c r="R150" s="144"/>
    </row>
    <row r="151" spans="2:18">
      <c r="B151" s="142">
        <f t="shared" si="17"/>
        <v>2033</v>
      </c>
      <c r="C151" s="19">
        <f t="shared" si="18"/>
        <v>12</v>
      </c>
      <c r="D151" s="143">
        <v>48914</v>
      </c>
      <c r="E151" s="19" t="str">
        <f t="shared" si="19"/>
        <v>12-2033</v>
      </c>
      <c r="F151" s="214">
        <v>5.259971538630893</v>
      </c>
      <c r="G151" s="214">
        <v>1.314576658503821</v>
      </c>
      <c r="H151" s="214">
        <v>6.5745481971347139</v>
      </c>
      <c r="I151" s="214">
        <v>5.523729594125566</v>
      </c>
      <c r="J151" s="214">
        <v>2.1706839752447089</v>
      </c>
      <c r="K151" s="214">
        <v>7.6944135693702744</v>
      </c>
      <c r="L151" s="214">
        <v>5.7316413250323412</v>
      </c>
      <c r="M151" s="214">
        <v>1.0251143795134334</v>
      </c>
      <c r="N151" s="214">
        <v>6.7567557045457747</v>
      </c>
      <c r="O151" s="19"/>
      <c r="P151" s="226">
        <f t="shared" si="20"/>
        <v>5.505114152596267</v>
      </c>
      <c r="Q151" s="226">
        <f t="shared" si="21"/>
        <v>7.0085724903502538</v>
      </c>
      <c r="R151" s="144"/>
    </row>
    <row r="152" spans="2:18">
      <c r="B152" s="142">
        <f t="shared" si="17"/>
        <v>2034</v>
      </c>
      <c r="C152" s="19">
        <f t="shared" si="18"/>
        <v>1</v>
      </c>
      <c r="D152" s="143">
        <v>48945</v>
      </c>
      <c r="E152" s="19" t="str">
        <f t="shared" si="19"/>
        <v>1-2034</v>
      </c>
      <c r="F152" s="214">
        <v>5.2600524050173343</v>
      </c>
      <c r="G152" s="214">
        <v>1.3671597248439737</v>
      </c>
      <c r="H152" s="214">
        <v>6.6272121298613076</v>
      </c>
      <c r="I152" s="214">
        <v>5.5237611584171091</v>
      </c>
      <c r="J152" s="214">
        <v>2.257511334254497</v>
      </c>
      <c r="K152" s="214">
        <v>7.7812724926716061</v>
      </c>
      <c r="L152" s="214">
        <v>5.7325550320165473</v>
      </c>
      <c r="M152" s="214">
        <v>1.0661189546939709</v>
      </c>
      <c r="N152" s="214">
        <v>6.7986739867105186</v>
      </c>
      <c r="O152" s="19"/>
      <c r="P152" s="226">
        <f t="shared" si="20"/>
        <v>5.5054561984836639</v>
      </c>
      <c r="Q152" s="226">
        <f t="shared" si="21"/>
        <v>7.0690528697478108</v>
      </c>
      <c r="R152" s="144"/>
    </row>
    <row r="153" spans="2:18">
      <c r="B153" s="142">
        <f t="shared" si="17"/>
        <v>2034</v>
      </c>
      <c r="C153" s="19">
        <f t="shared" si="18"/>
        <v>2</v>
      </c>
      <c r="D153" s="143">
        <v>48976</v>
      </c>
      <c r="E153" s="19" t="str">
        <f t="shared" si="19"/>
        <v>2-2034</v>
      </c>
      <c r="F153" s="214">
        <v>5.1445040847270658</v>
      </c>
      <c r="G153" s="214">
        <v>1.3671597248439737</v>
      </c>
      <c r="H153" s="214">
        <v>6.51166380957104</v>
      </c>
      <c r="I153" s="214">
        <v>5.4023677165563937</v>
      </c>
      <c r="J153" s="214">
        <v>2.257511334254497</v>
      </c>
      <c r="K153" s="214">
        <v>7.6598790508108907</v>
      </c>
      <c r="L153" s="214">
        <v>5.6074347693707391</v>
      </c>
      <c r="M153" s="214">
        <v>1.0661189546939709</v>
      </c>
      <c r="N153" s="214">
        <v>6.6735537240647105</v>
      </c>
      <c r="O153" s="19"/>
      <c r="P153" s="226">
        <f t="shared" si="20"/>
        <v>5.3847688568847332</v>
      </c>
      <c r="Q153" s="226">
        <f t="shared" si="21"/>
        <v>6.9483655281488801</v>
      </c>
      <c r="R153" s="144"/>
    </row>
    <row r="154" spans="2:18">
      <c r="B154" s="142">
        <f t="shared" si="17"/>
        <v>2034</v>
      </c>
      <c r="C154" s="19">
        <f t="shared" si="18"/>
        <v>3</v>
      </c>
      <c r="D154" s="143">
        <v>49004</v>
      </c>
      <c r="E154" s="19" t="str">
        <f t="shared" si="19"/>
        <v>3-2034</v>
      </c>
      <c r="F154" s="214">
        <v>4.7224648476894924</v>
      </c>
      <c r="G154" s="214">
        <v>1.3671597248439737</v>
      </c>
      <c r="H154" s="214">
        <v>6.0896245725334666</v>
      </c>
      <c r="I154" s="214">
        <v>4.9591262229120874</v>
      </c>
      <c r="J154" s="214">
        <v>2.257511334254497</v>
      </c>
      <c r="K154" s="214">
        <v>7.2166375571665844</v>
      </c>
      <c r="L154" s="214">
        <v>5.148159591305669</v>
      </c>
      <c r="M154" s="214">
        <v>1.0661189546939709</v>
      </c>
      <c r="N154" s="214">
        <v>6.2142785459996404</v>
      </c>
      <c r="O154" s="19"/>
      <c r="P154" s="226">
        <f t="shared" si="20"/>
        <v>4.9432502206357496</v>
      </c>
      <c r="Q154" s="226">
        <f t="shared" si="21"/>
        <v>6.5068468918998974</v>
      </c>
      <c r="R154" s="144"/>
    </row>
    <row r="155" spans="2:18">
      <c r="B155" s="142">
        <f t="shared" si="17"/>
        <v>2034</v>
      </c>
      <c r="C155" s="19">
        <f t="shared" si="18"/>
        <v>4</v>
      </c>
      <c r="D155" s="143">
        <v>49035</v>
      </c>
      <c r="E155" s="19" t="str">
        <f t="shared" si="19"/>
        <v>4-2034</v>
      </c>
      <c r="F155" s="214">
        <v>4.6419097866521799</v>
      </c>
      <c r="G155" s="214">
        <v>1.3671597248439737</v>
      </c>
      <c r="H155" s="214">
        <v>6.0090695114961541</v>
      </c>
      <c r="I155" s="214">
        <v>4.8744871187448968</v>
      </c>
      <c r="J155" s="214">
        <v>2.257511334254497</v>
      </c>
      <c r="K155" s="214">
        <v>7.1319984529993938</v>
      </c>
      <c r="L155" s="214">
        <v>5.0610720356972836</v>
      </c>
      <c r="M155" s="214">
        <v>1.0661189546939709</v>
      </c>
      <c r="N155" s="214">
        <v>6.127190990391254</v>
      </c>
      <c r="O155" s="19"/>
      <c r="P155" s="226">
        <f t="shared" si="20"/>
        <v>4.8591563136981195</v>
      </c>
      <c r="Q155" s="226">
        <f t="shared" si="21"/>
        <v>6.4227529849622682</v>
      </c>
      <c r="R155" s="144"/>
    </row>
    <row r="156" spans="2:18">
      <c r="B156" s="142">
        <f t="shared" si="17"/>
        <v>2034</v>
      </c>
      <c r="C156" s="19">
        <f t="shared" si="18"/>
        <v>5</v>
      </c>
      <c r="D156" s="143">
        <v>49065</v>
      </c>
      <c r="E156" s="19" t="str">
        <f t="shared" si="19"/>
        <v>5-2034</v>
      </c>
      <c r="F156" s="214">
        <v>4.8032547686180465</v>
      </c>
      <c r="G156" s="214">
        <v>1.3671597248439737</v>
      </c>
      <c r="H156" s="214">
        <v>6.1704144934620206</v>
      </c>
      <c r="I156" s="214">
        <v>5.0438673414113682</v>
      </c>
      <c r="J156" s="214">
        <v>2.257511334254497</v>
      </c>
      <c r="K156" s="214">
        <v>7.3013786756658652</v>
      </c>
      <c r="L156" s="214">
        <v>5.2377407966944789</v>
      </c>
      <c r="M156" s="214">
        <v>1.0661189546939709</v>
      </c>
      <c r="N156" s="214">
        <v>6.3038597513884493</v>
      </c>
      <c r="O156" s="19"/>
      <c r="P156" s="226">
        <f t="shared" si="20"/>
        <v>5.0282876355746309</v>
      </c>
      <c r="Q156" s="226">
        <f t="shared" si="21"/>
        <v>6.5918843068387787</v>
      </c>
      <c r="R156" s="144"/>
    </row>
    <row r="157" spans="2:18">
      <c r="B157" s="142">
        <f t="shared" si="17"/>
        <v>2034</v>
      </c>
      <c r="C157" s="19">
        <f t="shared" si="18"/>
        <v>6</v>
      </c>
      <c r="D157" s="143">
        <v>49096</v>
      </c>
      <c r="E157" s="19" t="str">
        <f t="shared" si="19"/>
        <v>6-2034</v>
      </c>
      <c r="F157" s="214">
        <v>4.9272169218909436</v>
      </c>
      <c r="G157" s="214">
        <v>1.3671597248439737</v>
      </c>
      <c r="H157" s="214">
        <v>6.2943766467349178</v>
      </c>
      <c r="I157" s="214">
        <v>5.1739891884281075</v>
      </c>
      <c r="J157" s="214">
        <v>2.257511334254497</v>
      </c>
      <c r="K157" s="214">
        <v>7.4315005226826045</v>
      </c>
      <c r="L157" s="214">
        <v>5.373690147701712</v>
      </c>
      <c r="M157" s="214">
        <v>1.0661189546939709</v>
      </c>
      <c r="N157" s="214">
        <v>6.4398091023956834</v>
      </c>
      <c r="O157" s="19"/>
      <c r="P157" s="226">
        <f t="shared" si="20"/>
        <v>5.1582987526735877</v>
      </c>
      <c r="Q157" s="226">
        <f t="shared" si="21"/>
        <v>6.7218954239377355</v>
      </c>
      <c r="R157" s="144"/>
    </row>
    <row r="158" spans="2:18">
      <c r="B158" s="142">
        <f t="shared" si="17"/>
        <v>2034</v>
      </c>
      <c r="C158" s="19">
        <f t="shared" si="18"/>
        <v>7</v>
      </c>
      <c r="D158" s="143">
        <v>49126</v>
      </c>
      <c r="E158" s="19" t="str">
        <f t="shared" si="19"/>
        <v>7-2034</v>
      </c>
      <c r="F158" s="214">
        <v>4.9660933419256583</v>
      </c>
      <c r="G158" s="214">
        <v>1.3671597248439737</v>
      </c>
      <c r="H158" s="214">
        <v>6.3332530667696325</v>
      </c>
      <c r="I158" s="214">
        <v>5.214762249171228</v>
      </c>
      <c r="J158" s="214">
        <v>2.257511334254497</v>
      </c>
      <c r="K158" s="214">
        <v>7.472273583425725</v>
      </c>
      <c r="L158" s="214">
        <v>5.4168695467478702</v>
      </c>
      <c r="M158" s="214">
        <v>1.0661189546939709</v>
      </c>
      <c r="N158" s="214">
        <v>6.4829885014418416</v>
      </c>
      <c r="O158" s="19"/>
      <c r="P158" s="226">
        <f t="shared" si="20"/>
        <v>5.1992417126149189</v>
      </c>
      <c r="Q158" s="226">
        <f t="shared" si="21"/>
        <v>6.7628383838790667</v>
      </c>
      <c r="R158" s="144"/>
    </row>
    <row r="159" spans="2:18">
      <c r="B159" s="142">
        <f t="shared" si="17"/>
        <v>2034</v>
      </c>
      <c r="C159" s="19">
        <f t="shared" si="18"/>
        <v>8</v>
      </c>
      <c r="D159" s="143">
        <v>49157</v>
      </c>
      <c r="E159" s="19" t="str">
        <f t="shared" si="19"/>
        <v>8-2034</v>
      </c>
      <c r="F159" s="214">
        <v>4.9275231628457457</v>
      </c>
      <c r="G159" s="214">
        <v>1.3671597248439737</v>
      </c>
      <c r="H159" s="214">
        <v>6.294682887689719</v>
      </c>
      <c r="I159" s="214">
        <v>5.1742106889009083</v>
      </c>
      <c r="J159" s="214">
        <v>2.257511334254497</v>
      </c>
      <c r="K159" s="214">
        <v>7.4317220231554053</v>
      </c>
      <c r="L159" s="214">
        <v>5.3755726372067629</v>
      </c>
      <c r="M159" s="214">
        <v>1.0661189546939709</v>
      </c>
      <c r="N159" s="214">
        <v>6.4416915919007334</v>
      </c>
      <c r="O159" s="19"/>
      <c r="P159" s="226">
        <f t="shared" si="20"/>
        <v>5.159102162984472</v>
      </c>
      <c r="Q159" s="226">
        <f t="shared" si="21"/>
        <v>6.7226988342486189</v>
      </c>
      <c r="R159" s="144"/>
    </row>
    <row r="160" spans="2:18">
      <c r="B160" s="142">
        <f t="shared" si="17"/>
        <v>2034</v>
      </c>
      <c r="C160" s="19">
        <f t="shared" si="18"/>
        <v>9</v>
      </c>
      <c r="D160" s="143">
        <v>49188</v>
      </c>
      <c r="E160" s="19" t="str">
        <f t="shared" si="19"/>
        <v>9-2034</v>
      </c>
      <c r="F160" s="214">
        <v>4.9966184862378009</v>
      </c>
      <c r="G160" s="214">
        <v>1.3671597248439737</v>
      </c>
      <c r="H160" s="214">
        <v>6.3637782110817742</v>
      </c>
      <c r="I160" s="214">
        <v>5.2467143909480392</v>
      </c>
      <c r="J160" s="214">
        <v>2.257511334254497</v>
      </c>
      <c r="K160" s="214">
        <v>7.5042257252025362</v>
      </c>
      <c r="L160" s="214">
        <v>5.4517359611051299</v>
      </c>
      <c r="M160" s="214">
        <v>1.0661189546939709</v>
      </c>
      <c r="N160" s="214">
        <v>6.5178549157991004</v>
      </c>
      <c r="O160" s="19"/>
      <c r="P160" s="226">
        <f t="shared" si="20"/>
        <v>5.2316896127636561</v>
      </c>
      <c r="Q160" s="226">
        <f t="shared" si="21"/>
        <v>6.795286284027803</v>
      </c>
      <c r="R160" s="144"/>
    </row>
    <row r="161" spans="2:18">
      <c r="B161" s="142">
        <f t="shared" si="17"/>
        <v>2034</v>
      </c>
      <c r="C161" s="19">
        <f t="shared" si="18"/>
        <v>10</v>
      </c>
      <c r="D161" s="143">
        <v>49218</v>
      </c>
      <c r="E161" s="19" t="str">
        <f t="shared" si="19"/>
        <v>10-2034</v>
      </c>
      <c r="F161" s="214">
        <v>4.9676120631012939</v>
      </c>
      <c r="G161" s="214">
        <v>1.3671597248439737</v>
      </c>
      <c r="H161" s="214">
        <v>6.3347717879452681</v>
      </c>
      <c r="I161" s="214">
        <v>5.2162056408527038</v>
      </c>
      <c r="J161" s="214">
        <v>2.257511334254497</v>
      </c>
      <c r="K161" s="214">
        <v>7.4737169751072008</v>
      </c>
      <c r="L161" s="214">
        <v>5.4208683644979851</v>
      </c>
      <c r="M161" s="214">
        <v>1.0661189546939709</v>
      </c>
      <c r="N161" s="214">
        <v>6.4869873191919556</v>
      </c>
      <c r="O161" s="19"/>
      <c r="P161" s="226">
        <f t="shared" si="20"/>
        <v>5.2015620228173276</v>
      </c>
      <c r="Q161" s="226">
        <f t="shared" si="21"/>
        <v>6.7651586940814754</v>
      </c>
      <c r="R161" s="144"/>
    </row>
    <row r="162" spans="2:18">
      <c r="B162" s="142">
        <f t="shared" si="17"/>
        <v>2034</v>
      </c>
      <c r="C162" s="19">
        <f t="shared" si="18"/>
        <v>11</v>
      </c>
      <c r="D162" s="143">
        <v>49249</v>
      </c>
      <c r="E162" s="19" t="str">
        <f t="shared" si="19"/>
        <v>11-2034</v>
      </c>
      <c r="F162" s="214">
        <v>5.2129215063238812</v>
      </c>
      <c r="G162" s="214">
        <v>1.3671597248439737</v>
      </c>
      <c r="H162" s="214">
        <v>6.5800812311678545</v>
      </c>
      <c r="I162" s="214">
        <v>5.4737381046077065</v>
      </c>
      <c r="J162" s="214">
        <v>2.257511334254497</v>
      </c>
      <c r="K162" s="214">
        <v>7.7312494388622035</v>
      </c>
      <c r="L162" s="214">
        <v>5.6893799826235369</v>
      </c>
      <c r="M162" s="214">
        <v>1.0661189546939709</v>
      </c>
      <c r="N162" s="214">
        <v>6.7554989373175083</v>
      </c>
      <c r="O162" s="19"/>
      <c r="P162" s="226">
        <f t="shared" si="20"/>
        <v>5.4586798645183761</v>
      </c>
      <c r="Q162" s="226">
        <f t="shared" si="21"/>
        <v>7.0222765357825212</v>
      </c>
      <c r="R162" s="144"/>
    </row>
    <row r="163" spans="2:18">
      <c r="B163" s="142">
        <f t="shared" si="17"/>
        <v>2034</v>
      </c>
      <c r="C163" s="19">
        <f t="shared" si="18"/>
        <v>12</v>
      </c>
      <c r="D163" s="143">
        <v>49279</v>
      </c>
      <c r="E163" s="19" t="str">
        <f t="shared" si="19"/>
        <v>12-2034</v>
      </c>
      <c r="F163" s="214">
        <v>5.2546257432538166</v>
      </c>
      <c r="G163" s="214">
        <v>1.3671597248439737</v>
      </c>
      <c r="H163" s="214">
        <v>6.6217854680977908</v>
      </c>
      <c r="I163" s="214">
        <v>5.5174755160949003</v>
      </c>
      <c r="J163" s="214">
        <v>2.257511334254497</v>
      </c>
      <c r="K163" s="214">
        <v>7.7749868503493973</v>
      </c>
      <c r="L163" s="214">
        <v>5.7357222427626242</v>
      </c>
      <c r="M163" s="214">
        <v>1.0661189546939709</v>
      </c>
      <c r="N163" s="214">
        <v>6.8018411974565947</v>
      </c>
      <c r="O163" s="19"/>
      <c r="P163" s="226">
        <f t="shared" si="20"/>
        <v>5.5026078340371134</v>
      </c>
      <c r="Q163" s="226">
        <f t="shared" si="21"/>
        <v>7.0662045053012603</v>
      </c>
      <c r="R163" s="144"/>
    </row>
    <row r="164" spans="2:18">
      <c r="B164" s="142">
        <f t="shared" si="17"/>
        <v>2035</v>
      </c>
      <c r="C164" s="19">
        <f t="shared" si="18"/>
        <v>1</v>
      </c>
      <c r="D164" s="143">
        <v>49310</v>
      </c>
      <c r="E164" s="19" t="str">
        <f t="shared" si="19"/>
        <v>1-2035</v>
      </c>
      <c r="F164" s="214">
        <v>5.2546272683619248</v>
      </c>
      <c r="G164" s="214">
        <v>1.4218461138377327</v>
      </c>
      <c r="H164" s="214">
        <v>6.6764733821996574</v>
      </c>
      <c r="I164" s="214">
        <v>5.517403323614456</v>
      </c>
      <c r="J164" s="214">
        <v>2.3478117876246771</v>
      </c>
      <c r="K164" s="214">
        <v>7.8652151112391326</v>
      </c>
      <c r="L164" s="214">
        <v>5.7356692415121451</v>
      </c>
      <c r="M164" s="214">
        <v>1.1087637128817298</v>
      </c>
      <c r="N164" s="214">
        <v>6.8444329543938753</v>
      </c>
      <c r="O164" s="19"/>
      <c r="P164" s="226">
        <f t="shared" si="20"/>
        <v>5.502566611162842</v>
      </c>
      <c r="Q164" s="226">
        <f t="shared" si="21"/>
        <v>7.1287071492775551</v>
      </c>
      <c r="R164" s="144"/>
    </row>
    <row r="165" spans="2:18">
      <c r="B165" s="142">
        <f t="shared" si="17"/>
        <v>2035</v>
      </c>
      <c r="C165" s="19">
        <f t="shared" si="18"/>
        <v>2</v>
      </c>
      <c r="D165" s="143">
        <v>49341</v>
      </c>
      <c r="E165" s="19" t="str">
        <f t="shared" si="19"/>
        <v>2-2035</v>
      </c>
      <c r="F165" s="214">
        <v>5.1391205916917642</v>
      </c>
      <c r="G165" s="214">
        <v>1.4218461138377327</v>
      </c>
      <c r="H165" s="214">
        <v>6.5609667055294967</v>
      </c>
      <c r="I165" s="214">
        <v>5.3960481445458051</v>
      </c>
      <c r="J165" s="214">
        <v>2.3478117876246771</v>
      </c>
      <c r="K165" s="214">
        <v>7.7438599321704817</v>
      </c>
      <c r="L165" s="214">
        <v>5.6095348746167399</v>
      </c>
      <c r="M165" s="214">
        <v>1.1087637128817298</v>
      </c>
      <c r="N165" s="214">
        <v>6.7182985874984702</v>
      </c>
      <c r="O165" s="19"/>
      <c r="P165" s="226">
        <f t="shared" si="20"/>
        <v>5.3815678702847691</v>
      </c>
      <c r="Q165" s="226">
        <f t="shared" si="21"/>
        <v>7.0077084083994832</v>
      </c>
      <c r="R165" s="144"/>
    </row>
    <row r="166" spans="2:18">
      <c r="B166" s="142">
        <f t="shared" si="17"/>
        <v>2035</v>
      </c>
      <c r="C166" s="19">
        <f t="shared" si="18"/>
        <v>3</v>
      </c>
      <c r="D166" s="143">
        <v>49369</v>
      </c>
      <c r="E166" s="19" t="str">
        <f t="shared" si="19"/>
        <v>3-2035</v>
      </c>
      <c r="F166" s="214">
        <v>4.7174518170338695</v>
      </c>
      <c r="G166" s="214">
        <v>1.4218461138377327</v>
      </c>
      <c r="H166" s="214">
        <v>6.139297930871602</v>
      </c>
      <c r="I166" s="214">
        <v>4.9532319912411618</v>
      </c>
      <c r="J166" s="214">
        <v>2.3478117876246771</v>
      </c>
      <c r="K166" s="214">
        <v>7.3010437788658393</v>
      </c>
      <c r="L166" s="214">
        <v>5.1492191511636873</v>
      </c>
      <c r="M166" s="214">
        <v>1.1087637128817298</v>
      </c>
      <c r="N166" s="214">
        <v>6.2579828640454167</v>
      </c>
      <c r="O166" s="19"/>
      <c r="P166" s="226">
        <f t="shared" si="20"/>
        <v>4.9399676531462395</v>
      </c>
      <c r="Q166" s="226">
        <f t="shared" si="21"/>
        <v>6.5661081912609527</v>
      </c>
      <c r="R166" s="144"/>
    </row>
    <row r="167" spans="2:18">
      <c r="B167" s="142">
        <f t="shared" si="17"/>
        <v>2035</v>
      </c>
      <c r="C167" s="19">
        <f t="shared" si="18"/>
        <v>4</v>
      </c>
      <c r="D167" s="143">
        <v>49400</v>
      </c>
      <c r="E167" s="19" t="str">
        <f t="shared" si="19"/>
        <v>4-2035</v>
      </c>
      <c r="F167" s="214">
        <v>4.6369122870789141</v>
      </c>
      <c r="G167" s="214">
        <v>1.4218461138377327</v>
      </c>
      <c r="H167" s="214">
        <v>6.0587584009166466</v>
      </c>
      <c r="I167" s="214">
        <v>4.8686019046481244</v>
      </c>
      <c r="J167" s="214">
        <v>2.3478117876246771</v>
      </c>
      <c r="K167" s="214">
        <v>7.2164136922728019</v>
      </c>
      <c r="L167" s="214">
        <v>5.0612599285327429</v>
      </c>
      <c r="M167" s="214">
        <v>1.1087637128817298</v>
      </c>
      <c r="N167" s="214">
        <v>6.1700236414144722</v>
      </c>
      <c r="O167" s="19"/>
      <c r="P167" s="226">
        <f t="shared" si="20"/>
        <v>4.8555913734199265</v>
      </c>
      <c r="Q167" s="226">
        <f t="shared" si="21"/>
        <v>6.4817319115346406</v>
      </c>
      <c r="R167" s="144"/>
    </row>
    <row r="168" spans="2:18">
      <c r="B168" s="142">
        <f t="shared" si="17"/>
        <v>2035</v>
      </c>
      <c r="C168" s="19">
        <f t="shared" si="18"/>
        <v>5</v>
      </c>
      <c r="D168" s="143">
        <v>49430</v>
      </c>
      <c r="E168" s="19" t="str">
        <f t="shared" si="19"/>
        <v>5-2035</v>
      </c>
      <c r="F168" s="214">
        <v>4.7980111392829308</v>
      </c>
      <c r="G168" s="214">
        <v>1.4218461138377327</v>
      </c>
      <c r="H168" s="214">
        <v>6.2198572531206633</v>
      </c>
      <c r="I168" s="214">
        <v>5.0376828445495336</v>
      </c>
      <c r="J168" s="214">
        <v>2.3478117876246771</v>
      </c>
      <c r="K168" s="214">
        <v>7.3854946321742112</v>
      </c>
      <c r="L168" s="214">
        <v>5.2370518080103015</v>
      </c>
      <c r="M168" s="214">
        <v>1.1087637128817298</v>
      </c>
      <c r="N168" s="214">
        <v>6.3458155208920317</v>
      </c>
      <c r="O168" s="19"/>
      <c r="P168" s="226">
        <f t="shared" si="20"/>
        <v>5.0242485972809217</v>
      </c>
      <c r="Q168" s="226">
        <f t="shared" si="21"/>
        <v>6.6503891353956348</v>
      </c>
      <c r="R168" s="144"/>
    </row>
    <row r="169" spans="2:18">
      <c r="B169" s="142">
        <f t="shared" si="17"/>
        <v>2035</v>
      </c>
      <c r="C169" s="19">
        <f t="shared" si="18"/>
        <v>6</v>
      </c>
      <c r="D169" s="143">
        <v>49461</v>
      </c>
      <c r="E169" s="19" t="str">
        <f t="shared" si="19"/>
        <v>6-2035</v>
      </c>
      <c r="F169" s="214">
        <v>4.9217636584282207</v>
      </c>
      <c r="G169" s="214">
        <v>1.4218461138377327</v>
      </c>
      <c r="H169" s="214">
        <v>6.3436097722659532</v>
      </c>
      <c r="I169" s="214">
        <v>5.1675478987091488</v>
      </c>
      <c r="J169" s="214">
        <v>2.3478117876246771</v>
      </c>
      <c r="K169" s="214">
        <v>7.5153596863338255</v>
      </c>
      <c r="L169" s="214">
        <v>5.3720770126354669</v>
      </c>
      <c r="M169" s="214">
        <v>1.1087637128817298</v>
      </c>
      <c r="N169" s="214">
        <v>6.4808407255171971</v>
      </c>
      <c r="O169" s="19"/>
      <c r="P169" s="226">
        <f t="shared" si="20"/>
        <v>5.1537961899242788</v>
      </c>
      <c r="Q169" s="226">
        <f t="shared" si="21"/>
        <v>6.7799367280389928</v>
      </c>
      <c r="R169" s="144"/>
    </row>
    <row r="170" spans="2:18">
      <c r="B170" s="142">
        <f t="shared" si="17"/>
        <v>2035</v>
      </c>
      <c r="C170" s="19">
        <f t="shared" si="18"/>
        <v>7</v>
      </c>
      <c r="D170" s="143">
        <v>49491</v>
      </c>
      <c r="E170" s="19" t="str">
        <f t="shared" si="19"/>
        <v>7-2035</v>
      </c>
      <c r="F170" s="214">
        <v>4.9605221456688575</v>
      </c>
      <c r="G170" s="214">
        <v>1.4218461138377327</v>
      </c>
      <c r="H170" s="214">
        <v>6.38236825950659</v>
      </c>
      <c r="I170" s="214">
        <v>5.2081721697168817</v>
      </c>
      <c r="J170" s="214">
        <v>2.3478117876246771</v>
      </c>
      <c r="K170" s="214">
        <v>7.5559839573415584</v>
      </c>
      <c r="L170" s="214">
        <v>5.4143300126530711</v>
      </c>
      <c r="M170" s="214">
        <v>1.1087637128817298</v>
      </c>
      <c r="N170" s="214">
        <v>6.5230937255348014</v>
      </c>
      <c r="O170" s="19"/>
      <c r="P170" s="226">
        <f t="shared" si="20"/>
        <v>5.1943414426796037</v>
      </c>
      <c r="Q170" s="226">
        <f t="shared" si="21"/>
        <v>6.8204819807943169</v>
      </c>
      <c r="R170" s="144"/>
    </row>
    <row r="171" spans="2:18">
      <c r="B171" s="142">
        <f t="shared" si="17"/>
        <v>2035</v>
      </c>
      <c r="C171" s="19">
        <f t="shared" si="18"/>
        <v>8</v>
      </c>
      <c r="D171" s="143">
        <v>49522</v>
      </c>
      <c r="E171" s="19" t="str">
        <f t="shared" si="19"/>
        <v>8-2035</v>
      </c>
      <c r="F171" s="214">
        <v>4.9219208998022825</v>
      </c>
      <c r="G171" s="214">
        <v>1.4218461138377327</v>
      </c>
      <c r="H171" s="214">
        <v>6.3437670136400151</v>
      </c>
      <c r="I171" s="214">
        <v>5.1675745699780213</v>
      </c>
      <c r="J171" s="214">
        <v>2.3478117876246771</v>
      </c>
      <c r="K171" s="214">
        <v>7.5153863576026989</v>
      </c>
      <c r="L171" s="214">
        <v>5.3721460983005223</v>
      </c>
      <c r="M171" s="214">
        <v>1.1087637128817298</v>
      </c>
      <c r="N171" s="214">
        <v>6.4809098111822525</v>
      </c>
      <c r="O171" s="19"/>
      <c r="P171" s="226">
        <f t="shared" si="20"/>
        <v>5.1538805226936084</v>
      </c>
      <c r="Q171" s="226">
        <f t="shared" si="21"/>
        <v>6.7800210608083225</v>
      </c>
      <c r="R171" s="144"/>
    </row>
    <row r="172" spans="2:18">
      <c r="B172" s="142">
        <f t="shared" si="17"/>
        <v>2035</v>
      </c>
      <c r="C172" s="19">
        <f t="shared" si="18"/>
        <v>9</v>
      </c>
      <c r="D172" s="143">
        <v>49553</v>
      </c>
      <c r="E172" s="19" t="str">
        <f t="shared" si="19"/>
        <v>9-2035</v>
      </c>
      <c r="F172" s="214">
        <v>4.9908622746788662</v>
      </c>
      <c r="G172" s="214">
        <v>1.4218461138377327</v>
      </c>
      <c r="H172" s="214">
        <v>6.4127083885165987</v>
      </c>
      <c r="I172" s="214">
        <v>5.2398866155521953</v>
      </c>
      <c r="J172" s="214">
        <v>2.3478117876246771</v>
      </c>
      <c r="K172" s="214">
        <v>7.5876984031768728</v>
      </c>
      <c r="L172" s="214">
        <v>5.4473417752384385</v>
      </c>
      <c r="M172" s="214">
        <v>1.1087637128817298</v>
      </c>
      <c r="N172" s="214">
        <v>6.5561054881201688</v>
      </c>
      <c r="O172" s="19"/>
      <c r="P172" s="226">
        <f t="shared" si="20"/>
        <v>5.2260302218231667</v>
      </c>
      <c r="Q172" s="226">
        <f t="shared" si="21"/>
        <v>6.8521707599378798</v>
      </c>
      <c r="R172" s="144"/>
    </row>
    <row r="173" spans="2:18">
      <c r="B173" s="142">
        <f t="shared" si="17"/>
        <v>2035</v>
      </c>
      <c r="C173" s="19">
        <f t="shared" si="18"/>
        <v>10</v>
      </c>
      <c r="D173" s="143">
        <v>49583</v>
      </c>
      <c r="E173" s="19" t="str">
        <f t="shared" si="19"/>
        <v>10-2035</v>
      </c>
      <c r="F173" s="214">
        <v>4.9618143007502535</v>
      </c>
      <c r="G173" s="214">
        <v>1.4218461138377327</v>
      </c>
      <c r="H173" s="214">
        <v>6.3836604145879861</v>
      </c>
      <c r="I173" s="214">
        <v>5.2093194552546755</v>
      </c>
      <c r="J173" s="214">
        <v>2.3478117876246771</v>
      </c>
      <c r="K173" s="214">
        <v>7.5571312428793522</v>
      </c>
      <c r="L173" s="214">
        <v>5.4155852723536668</v>
      </c>
      <c r="M173" s="214">
        <v>1.1087637128817298</v>
      </c>
      <c r="N173" s="214">
        <v>6.5243489852353971</v>
      </c>
      <c r="O173" s="19"/>
      <c r="P173" s="226">
        <f t="shared" si="20"/>
        <v>5.1955730094528656</v>
      </c>
      <c r="Q173" s="226">
        <f t="shared" si="21"/>
        <v>6.8217135475675788</v>
      </c>
      <c r="R173" s="144"/>
    </row>
    <row r="174" spans="2:18">
      <c r="B174" s="142">
        <f t="shared" si="17"/>
        <v>2035</v>
      </c>
      <c r="C174" s="19">
        <f t="shared" si="18"/>
        <v>11</v>
      </c>
      <c r="D174" s="143">
        <v>49614</v>
      </c>
      <c r="E174" s="19" t="str">
        <f t="shared" si="19"/>
        <v>11-2035</v>
      </c>
      <c r="F174" s="214">
        <v>5.2067587581002419</v>
      </c>
      <c r="G174" s="214">
        <v>1.4218461138377327</v>
      </c>
      <c r="H174" s="214">
        <v>6.6286048719379744</v>
      </c>
      <c r="I174" s="214">
        <v>5.4664089609733777</v>
      </c>
      <c r="J174" s="214">
        <v>2.3478117876246771</v>
      </c>
      <c r="K174" s="214">
        <v>7.8142207485980553</v>
      </c>
      <c r="L174" s="214">
        <v>5.6828762684838523</v>
      </c>
      <c r="M174" s="214">
        <v>1.1087637128817298</v>
      </c>
      <c r="N174" s="214">
        <v>6.7916399813655826</v>
      </c>
      <c r="O174" s="19"/>
      <c r="P174" s="226">
        <f t="shared" si="20"/>
        <v>5.452014662519157</v>
      </c>
      <c r="Q174" s="226">
        <f t="shared" si="21"/>
        <v>7.0781552006338702</v>
      </c>
      <c r="R174" s="144"/>
    </row>
    <row r="175" spans="2:18">
      <c r="B175" s="142">
        <f t="shared" si="17"/>
        <v>2035</v>
      </c>
      <c r="C175" s="19">
        <f t="shared" si="18"/>
        <v>12</v>
      </c>
      <c r="D175" s="143">
        <v>49644</v>
      </c>
      <c r="E175" s="19" t="str">
        <f t="shared" si="19"/>
        <v>12-2035</v>
      </c>
      <c r="F175" s="214">
        <v>5.2483343669594351</v>
      </c>
      <c r="G175" s="214">
        <v>1.4218461138377327</v>
      </c>
      <c r="H175" s="214">
        <v>6.6701804807971676</v>
      </c>
      <c r="I175" s="214">
        <v>5.5099839911930308</v>
      </c>
      <c r="J175" s="214">
        <v>2.3478117876246771</v>
      </c>
      <c r="K175" s="214">
        <v>7.8577957788177084</v>
      </c>
      <c r="L175" s="214">
        <v>5.7281989221806437</v>
      </c>
      <c r="M175" s="214">
        <v>1.1087637128817298</v>
      </c>
      <c r="N175" s="214">
        <v>6.836962635062374</v>
      </c>
      <c r="O175" s="19"/>
      <c r="P175" s="226">
        <f t="shared" si="20"/>
        <v>5.4955057601110369</v>
      </c>
      <c r="Q175" s="226">
        <f t="shared" si="21"/>
        <v>7.1216462982257509</v>
      </c>
      <c r="R175" s="144"/>
    </row>
    <row r="176" spans="2:18">
      <c r="B176" s="142">
        <f t="shared" si="17"/>
        <v>2036</v>
      </c>
      <c r="C176" s="19">
        <f t="shared" si="18"/>
        <v>1</v>
      </c>
      <c r="D176" s="143">
        <v>49675</v>
      </c>
      <c r="E176" s="19" t="str">
        <f t="shared" si="19"/>
        <v>1-2036</v>
      </c>
      <c r="F176" s="214">
        <v>5.2483571262877105</v>
      </c>
      <c r="G176" s="214">
        <v>1.478719958391242</v>
      </c>
      <c r="H176" s="214">
        <v>6.7270770846789523</v>
      </c>
      <c r="I176" s="214">
        <v>5.5099304724155971</v>
      </c>
      <c r="J176" s="214">
        <v>2.4417242591296642</v>
      </c>
      <c r="K176" s="214">
        <v>7.9516547315452613</v>
      </c>
      <c r="L176" s="214">
        <v>5.7282425692182519</v>
      </c>
      <c r="M176" s="214">
        <v>1.1531142613969991</v>
      </c>
      <c r="N176" s="214">
        <v>6.8813568306152515</v>
      </c>
      <c r="O176" s="19"/>
      <c r="P176" s="226">
        <f t="shared" si="20"/>
        <v>5.4955100559738534</v>
      </c>
      <c r="Q176" s="226">
        <f t="shared" si="21"/>
        <v>7.1866962156131562</v>
      </c>
      <c r="R176" s="144"/>
    </row>
    <row r="177" spans="2:18">
      <c r="B177" s="142">
        <f t="shared" si="17"/>
        <v>2036</v>
      </c>
      <c r="C177" s="19">
        <f t="shared" si="18"/>
        <v>2</v>
      </c>
      <c r="D177" s="143">
        <v>49706</v>
      </c>
      <c r="E177" s="19" t="str">
        <f t="shared" si="19"/>
        <v>2-2036</v>
      </c>
      <c r="F177" s="214">
        <v>5.1330090526192702</v>
      </c>
      <c r="G177" s="214">
        <v>1.478719958391242</v>
      </c>
      <c r="H177" s="214">
        <v>6.611729011010512</v>
      </c>
      <c r="I177" s="214">
        <v>5.3887578297858481</v>
      </c>
      <c r="J177" s="214">
        <v>2.4417242591296642</v>
      </c>
      <c r="K177" s="214">
        <v>7.8304820889155122</v>
      </c>
      <c r="L177" s="214">
        <v>5.6023659994474562</v>
      </c>
      <c r="M177" s="214">
        <v>1.1531142613969991</v>
      </c>
      <c r="N177" s="214">
        <v>6.7554802608444557</v>
      </c>
      <c r="O177" s="19"/>
      <c r="P177" s="226">
        <f t="shared" si="20"/>
        <v>5.3747109606175245</v>
      </c>
      <c r="Q177" s="226">
        <f t="shared" si="21"/>
        <v>7.0658971202568255</v>
      </c>
      <c r="R177" s="144"/>
    </row>
    <row r="178" spans="2:18">
      <c r="B178" s="142">
        <f t="shared" si="17"/>
        <v>2036</v>
      </c>
      <c r="C178" s="19">
        <f t="shared" si="18"/>
        <v>3</v>
      </c>
      <c r="D178" s="143">
        <v>49735</v>
      </c>
      <c r="E178" s="19" t="str">
        <f t="shared" si="19"/>
        <v>3-2036</v>
      </c>
      <c r="F178" s="214">
        <v>4.7118608071333608</v>
      </c>
      <c r="G178" s="214">
        <v>1.478719958391242</v>
      </c>
      <c r="H178" s="214">
        <v>6.1905807655246026</v>
      </c>
      <c r="I178" s="214">
        <v>4.9465566257369291</v>
      </c>
      <c r="J178" s="214">
        <v>2.4417242591296642</v>
      </c>
      <c r="K178" s="214">
        <v>7.3882808848665933</v>
      </c>
      <c r="L178" s="214">
        <v>5.142725292314112</v>
      </c>
      <c r="M178" s="214">
        <v>1.1531142613969991</v>
      </c>
      <c r="N178" s="214">
        <v>6.2958395537111116</v>
      </c>
      <c r="O178" s="19"/>
      <c r="P178" s="226">
        <f t="shared" si="20"/>
        <v>4.9337142417281337</v>
      </c>
      <c r="Q178" s="226">
        <f t="shared" si="21"/>
        <v>6.6249004013674364</v>
      </c>
      <c r="R178" s="144"/>
    </row>
    <row r="179" spans="2:18">
      <c r="B179" s="142">
        <f t="shared" si="17"/>
        <v>2036</v>
      </c>
      <c r="C179" s="19">
        <f t="shared" si="18"/>
        <v>4</v>
      </c>
      <c r="D179" s="143">
        <v>49766</v>
      </c>
      <c r="E179" s="19" t="str">
        <f t="shared" si="19"/>
        <v>4-2036</v>
      </c>
      <c r="F179" s="214">
        <v>4.631435481520616</v>
      </c>
      <c r="G179" s="214">
        <v>1.478719958391242</v>
      </c>
      <c r="H179" s="214">
        <v>6.1101554399118578</v>
      </c>
      <c r="I179" s="214">
        <v>4.8620569957810211</v>
      </c>
      <c r="J179" s="214">
        <v>2.4417242591296642</v>
      </c>
      <c r="K179" s="214">
        <v>7.3037812549106853</v>
      </c>
      <c r="L179" s="214">
        <v>5.0549622769114668</v>
      </c>
      <c r="M179" s="214">
        <v>1.1531142613969991</v>
      </c>
      <c r="N179" s="214">
        <v>6.2080765383084664</v>
      </c>
      <c r="O179" s="19"/>
      <c r="P179" s="226">
        <f t="shared" si="20"/>
        <v>4.8494849180710347</v>
      </c>
      <c r="Q179" s="226">
        <f t="shared" si="21"/>
        <v>6.5406710777103356</v>
      </c>
      <c r="R179" s="144"/>
    </row>
    <row r="180" spans="2:18">
      <c r="B180" s="142">
        <f t="shared" si="17"/>
        <v>2036</v>
      </c>
      <c r="C180" s="19">
        <f t="shared" si="18"/>
        <v>5</v>
      </c>
      <c r="D180" s="143">
        <v>49796</v>
      </c>
      <c r="E180" s="19" t="str">
        <f t="shared" si="19"/>
        <v>5-2036</v>
      </c>
      <c r="F180" s="214">
        <v>4.7923634608783932</v>
      </c>
      <c r="G180" s="214">
        <v>1.478719958391242</v>
      </c>
      <c r="H180" s="214">
        <v>6.271083419269635</v>
      </c>
      <c r="I180" s="214">
        <v>5.0309276144807686</v>
      </c>
      <c r="J180" s="214">
        <v>2.4417242591296642</v>
      </c>
      <c r="K180" s="214">
        <v>7.4726518736104328</v>
      </c>
      <c r="L180" s="214">
        <v>5.2306236812045146</v>
      </c>
      <c r="M180" s="214">
        <v>1.1531142613969991</v>
      </c>
      <c r="N180" s="214">
        <v>6.3837379426015133</v>
      </c>
      <c r="O180" s="19"/>
      <c r="P180" s="226">
        <f t="shared" si="20"/>
        <v>5.0179715855212255</v>
      </c>
      <c r="Q180" s="226">
        <f t="shared" si="21"/>
        <v>6.7091577451605273</v>
      </c>
      <c r="R180" s="144"/>
    </row>
    <row r="181" spans="2:18">
      <c r="B181" s="142">
        <f t="shared" si="17"/>
        <v>2036</v>
      </c>
      <c r="C181" s="19">
        <f t="shared" si="18"/>
        <v>6</v>
      </c>
      <c r="D181" s="143">
        <v>49827</v>
      </c>
      <c r="E181" s="19" t="str">
        <f t="shared" si="19"/>
        <v>6-2036</v>
      </c>
      <c r="F181" s="214">
        <v>4.9159902231674568</v>
      </c>
      <c r="G181" s="214">
        <v>1.478719958391242</v>
      </c>
      <c r="H181" s="214">
        <v>6.3947101815586986</v>
      </c>
      <c r="I181" s="214">
        <v>5.1606359449152031</v>
      </c>
      <c r="J181" s="214">
        <v>2.4417242591296642</v>
      </c>
      <c r="K181" s="214">
        <v>7.6023602040448672</v>
      </c>
      <c r="L181" s="214">
        <v>5.3655737069885392</v>
      </c>
      <c r="M181" s="214">
        <v>1.1531142613969991</v>
      </c>
      <c r="N181" s="214">
        <v>6.5186879683855388</v>
      </c>
      <c r="O181" s="19"/>
      <c r="P181" s="226">
        <f t="shared" si="20"/>
        <v>5.1473999583570667</v>
      </c>
      <c r="Q181" s="226">
        <f t="shared" si="21"/>
        <v>6.8385861179963685</v>
      </c>
      <c r="R181" s="144"/>
    </row>
    <row r="182" spans="2:18">
      <c r="B182" s="142">
        <f t="shared" si="17"/>
        <v>2036</v>
      </c>
      <c r="C182" s="19">
        <f t="shared" si="18"/>
        <v>7</v>
      </c>
      <c r="D182" s="143">
        <v>49857</v>
      </c>
      <c r="E182" s="19" t="str">
        <f t="shared" si="19"/>
        <v>7-2036</v>
      </c>
      <c r="F182" s="214">
        <v>4.9547233165520961</v>
      </c>
      <c r="G182" s="214">
        <v>1.478719958391242</v>
      </c>
      <c r="H182" s="214">
        <v>6.4334432749433379</v>
      </c>
      <c r="I182" s="214">
        <v>5.2012234365555008</v>
      </c>
      <c r="J182" s="214">
        <v>2.4417242591296642</v>
      </c>
      <c r="K182" s="214">
        <v>7.642947695685165</v>
      </c>
      <c r="L182" s="214">
        <v>5.407866844229261</v>
      </c>
      <c r="M182" s="214">
        <v>1.1531142613969991</v>
      </c>
      <c r="N182" s="214">
        <v>6.5609811056262597</v>
      </c>
      <c r="O182" s="19"/>
      <c r="P182" s="226">
        <f t="shared" si="20"/>
        <v>5.1879378657789523</v>
      </c>
      <c r="Q182" s="226">
        <f t="shared" si="21"/>
        <v>6.8791240254182542</v>
      </c>
      <c r="R182" s="144"/>
    </row>
    <row r="183" spans="2:18">
      <c r="B183" s="142">
        <f t="shared" si="17"/>
        <v>2036</v>
      </c>
      <c r="C183" s="19">
        <f t="shared" si="18"/>
        <v>8</v>
      </c>
      <c r="D183" s="143">
        <v>49888</v>
      </c>
      <c r="E183" s="19" t="str">
        <f t="shared" si="19"/>
        <v>8-2036</v>
      </c>
      <c r="F183" s="214">
        <v>4.9161871146393095</v>
      </c>
      <c r="G183" s="214">
        <v>1.478719958391242</v>
      </c>
      <c r="H183" s="214">
        <v>6.3949070730305513</v>
      </c>
      <c r="I183" s="214">
        <v>5.160697427546836</v>
      </c>
      <c r="J183" s="214">
        <v>2.4417242591296642</v>
      </c>
      <c r="K183" s="214">
        <v>7.6024216866765002</v>
      </c>
      <c r="L183" s="214">
        <v>5.3658238817170991</v>
      </c>
      <c r="M183" s="214">
        <v>1.1531142613969991</v>
      </c>
      <c r="N183" s="214">
        <v>6.5189381431140987</v>
      </c>
      <c r="O183" s="19"/>
      <c r="P183" s="226">
        <f t="shared" si="20"/>
        <v>5.1475694746344152</v>
      </c>
      <c r="Q183" s="226">
        <f t="shared" si="21"/>
        <v>6.838755634273717</v>
      </c>
      <c r="R183" s="144"/>
    </row>
    <row r="184" spans="2:18">
      <c r="B184" s="142">
        <f t="shared" si="17"/>
        <v>2036</v>
      </c>
      <c r="C184" s="19">
        <f t="shared" si="18"/>
        <v>9</v>
      </c>
      <c r="D184" s="143">
        <v>49919</v>
      </c>
      <c r="E184" s="19" t="str">
        <f t="shared" si="19"/>
        <v>9-2036</v>
      </c>
      <c r="F184" s="214">
        <v>4.9850683786598537</v>
      </c>
      <c r="G184" s="214">
        <v>1.478719958391242</v>
      </c>
      <c r="H184" s="214">
        <v>6.4637883370510956</v>
      </c>
      <c r="I184" s="214">
        <v>5.232930911709488</v>
      </c>
      <c r="J184" s="214">
        <v>2.4417242591296642</v>
      </c>
      <c r="K184" s="214">
        <v>7.6746551708391522</v>
      </c>
      <c r="L184" s="214">
        <v>5.4410229489975004</v>
      </c>
      <c r="M184" s="214">
        <v>1.1531142613969991</v>
      </c>
      <c r="N184" s="214">
        <v>6.5941372103945</v>
      </c>
      <c r="O184" s="19"/>
      <c r="P184" s="226">
        <f t="shared" si="20"/>
        <v>5.2196740797889474</v>
      </c>
      <c r="Q184" s="226">
        <f t="shared" si="21"/>
        <v>6.9108602394282492</v>
      </c>
      <c r="R184" s="144"/>
    </row>
    <row r="185" spans="2:18">
      <c r="B185" s="142">
        <f t="shared" si="17"/>
        <v>2036</v>
      </c>
      <c r="C185" s="19">
        <f t="shared" si="18"/>
        <v>10</v>
      </c>
      <c r="D185" s="143">
        <v>49949</v>
      </c>
      <c r="E185" s="19" t="str">
        <f t="shared" si="19"/>
        <v>10-2036</v>
      </c>
      <c r="F185" s="214">
        <v>4.9560742152836239</v>
      </c>
      <c r="G185" s="214">
        <v>1.478719958391242</v>
      </c>
      <c r="H185" s="214">
        <v>6.4347941736748657</v>
      </c>
      <c r="I185" s="214">
        <v>5.2024219021031008</v>
      </c>
      <c r="J185" s="214">
        <v>2.4417242591296642</v>
      </c>
      <c r="K185" s="214">
        <v>7.644146161232765</v>
      </c>
      <c r="L185" s="214">
        <v>5.4093946519257523</v>
      </c>
      <c r="M185" s="214">
        <v>1.1531142613969991</v>
      </c>
      <c r="N185" s="214">
        <v>6.5625089133227519</v>
      </c>
      <c r="O185" s="19"/>
      <c r="P185" s="226">
        <f t="shared" si="20"/>
        <v>5.189296923104159</v>
      </c>
      <c r="Q185" s="226">
        <f t="shared" si="21"/>
        <v>6.8804830827434609</v>
      </c>
      <c r="R185" s="144"/>
    </row>
    <row r="186" spans="2:18">
      <c r="B186" s="142">
        <f t="shared" si="17"/>
        <v>2036</v>
      </c>
      <c r="C186" s="19">
        <f t="shared" si="18"/>
        <v>11</v>
      </c>
      <c r="D186" s="143">
        <v>49980</v>
      </c>
      <c r="E186" s="19" t="str">
        <f t="shared" si="19"/>
        <v>11-2036</v>
      </c>
      <c r="F186" s="214">
        <v>5.2007563927612352</v>
      </c>
      <c r="G186" s="214">
        <v>1.478719958391242</v>
      </c>
      <c r="H186" s="214">
        <v>6.6794763511524771</v>
      </c>
      <c r="I186" s="214">
        <v>5.4591894465923563</v>
      </c>
      <c r="J186" s="214">
        <v>2.4417242591296642</v>
      </c>
      <c r="K186" s="214">
        <v>7.9009137057220205</v>
      </c>
      <c r="L186" s="214">
        <v>5.6764760038833888</v>
      </c>
      <c r="M186" s="214">
        <v>1.1531142613969991</v>
      </c>
      <c r="N186" s="214">
        <v>6.8295902652803875</v>
      </c>
      <c r="O186" s="19"/>
      <c r="P186" s="226">
        <f t="shared" si="20"/>
        <v>5.4454739477456604</v>
      </c>
      <c r="Q186" s="226">
        <f t="shared" si="21"/>
        <v>7.1366601073849623</v>
      </c>
      <c r="R186" s="144"/>
    </row>
    <row r="187" spans="2:18">
      <c r="B187" s="142">
        <f t="shared" si="17"/>
        <v>2036</v>
      </c>
      <c r="C187" s="19">
        <f t="shared" si="18"/>
        <v>12</v>
      </c>
      <c r="D187" s="143">
        <v>50010</v>
      </c>
      <c r="E187" s="19" t="str">
        <f t="shared" si="19"/>
        <v>12-2036</v>
      </c>
      <c r="F187" s="214">
        <v>5.2423053303996054</v>
      </c>
      <c r="G187" s="214">
        <v>1.478719958391242</v>
      </c>
      <c r="H187" s="214">
        <v>6.7210252887908473</v>
      </c>
      <c r="I187" s="214">
        <v>5.5027255240148989</v>
      </c>
      <c r="J187" s="214">
        <v>2.4417242591296642</v>
      </c>
      <c r="K187" s="214">
        <v>7.9444497831445631</v>
      </c>
      <c r="L187" s="214">
        <v>5.7218442988923943</v>
      </c>
      <c r="M187" s="214">
        <v>1.1531142613969991</v>
      </c>
      <c r="N187" s="214">
        <v>6.874958560289393</v>
      </c>
      <c r="O187" s="19"/>
      <c r="P187" s="226">
        <f t="shared" si="20"/>
        <v>5.4889583844356338</v>
      </c>
      <c r="Q187" s="226">
        <f t="shared" si="21"/>
        <v>7.1801445440749347</v>
      </c>
      <c r="R187" s="144"/>
    </row>
    <row r="188" spans="2:18">
      <c r="B188" s="142">
        <f t="shared" si="17"/>
        <v>2037</v>
      </c>
      <c r="C188" s="19">
        <f t="shared" si="18"/>
        <v>1</v>
      </c>
      <c r="D188" s="143">
        <v>50041</v>
      </c>
      <c r="E188" s="19" t="str">
        <f t="shared" si="19"/>
        <v>1-2037</v>
      </c>
      <c r="F188" s="214">
        <v>5.2427147885836574</v>
      </c>
      <c r="G188" s="214">
        <v>1.5378687567268918</v>
      </c>
      <c r="H188" s="214">
        <v>6.7805835453105487</v>
      </c>
      <c r="I188" s="214">
        <v>5.5031039767966554</v>
      </c>
      <c r="J188" s="214">
        <v>2.5393932294948511</v>
      </c>
      <c r="K188" s="214">
        <v>8.0424972062915074</v>
      </c>
      <c r="L188" s="214">
        <v>5.721677516440697</v>
      </c>
      <c r="M188" s="214">
        <v>1.1992388318528791</v>
      </c>
      <c r="N188" s="214">
        <v>6.9209163482935763</v>
      </c>
      <c r="O188" s="19"/>
      <c r="P188" s="226">
        <f t="shared" si="20"/>
        <v>5.4891654272736696</v>
      </c>
      <c r="Q188" s="226">
        <f t="shared" si="21"/>
        <v>7.2479990332985444</v>
      </c>
      <c r="R188" s="144"/>
    </row>
    <row r="189" spans="2:18">
      <c r="B189" s="142">
        <f t="shared" si="17"/>
        <v>2037</v>
      </c>
      <c r="C189" s="19">
        <f t="shared" si="18"/>
        <v>2</v>
      </c>
      <c r="D189" s="143">
        <v>50072</v>
      </c>
      <c r="E189" s="19" t="str">
        <f t="shared" si="19"/>
        <v>2-2037</v>
      </c>
      <c r="F189" s="214">
        <v>5.127869019880583</v>
      </c>
      <c r="G189" s="214">
        <v>1.5378687567268918</v>
      </c>
      <c r="H189" s="214">
        <v>6.6657377766074752</v>
      </c>
      <c r="I189" s="214">
        <v>5.3825039558797982</v>
      </c>
      <c r="J189" s="214">
        <v>2.5393932294948511</v>
      </c>
      <c r="K189" s="214">
        <v>7.9218971853746494</v>
      </c>
      <c r="L189" s="214">
        <v>5.5957394158633145</v>
      </c>
      <c r="M189" s="214">
        <v>1.1992388318528791</v>
      </c>
      <c r="N189" s="214">
        <v>6.7949782477161937</v>
      </c>
      <c r="O189" s="19"/>
      <c r="P189" s="226">
        <f t="shared" si="20"/>
        <v>5.3687041305412322</v>
      </c>
      <c r="Q189" s="226">
        <f t="shared" si="21"/>
        <v>7.127537736566107</v>
      </c>
      <c r="R189" s="144"/>
    </row>
    <row r="190" spans="2:18">
      <c r="B190" s="142">
        <f t="shared" si="17"/>
        <v>2037</v>
      </c>
      <c r="C190" s="19">
        <f t="shared" si="18"/>
        <v>3</v>
      </c>
      <c r="D190" s="143">
        <v>50100</v>
      </c>
      <c r="E190" s="19" t="str">
        <f t="shared" si="19"/>
        <v>3-2037</v>
      </c>
      <c r="F190" s="214">
        <v>4.707489825192992</v>
      </c>
      <c r="G190" s="214">
        <v>1.5378687567268918</v>
      </c>
      <c r="H190" s="214">
        <v>6.2453585819198842</v>
      </c>
      <c r="I190" s="214">
        <v>4.9412038552150257</v>
      </c>
      <c r="J190" s="214">
        <v>2.5393932294948511</v>
      </c>
      <c r="K190" s="214">
        <v>7.4805970847098768</v>
      </c>
      <c r="L190" s="214">
        <v>5.1364534337270866</v>
      </c>
      <c r="M190" s="214">
        <v>1.1992388318528791</v>
      </c>
      <c r="N190" s="214">
        <v>6.3356922655799659</v>
      </c>
      <c r="O190" s="19"/>
      <c r="P190" s="226">
        <f t="shared" si="20"/>
        <v>4.9283823713783681</v>
      </c>
      <c r="Q190" s="226">
        <f t="shared" si="21"/>
        <v>6.687215977403242</v>
      </c>
      <c r="R190" s="144"/>
    </row>
    <row r="191" spans="2:18">
      <c r="B191" s="142">
        <f t="shared" si="17"/>
        <v>2037</v>
      </c>
      <c r="C191" s="19">
        <f t="shared" si="18"/>
        <v>4</v>
      </c>
      <c r="D191" s="143">
        <v>50131</v>
      </c>
      <c r="E191" s="19" t="str">
        <f t="shared" si="19"/>
        <v>4-2037</v>
      </c>
      <c r="F191" s="214">
        <v>4.6274805698093173</v>
      </c>
      <c r="G191" s="214">
        <v>1.5378687567268918</v>
      </c>
      <c r="H191" s="214">
        <v>6.1653493265362087</v>
      </c>
      <c r="I191" s="214">
        <v>4.8571770320988712</v>
      </c>
      <c r="J191" s="214">
        <v>2.5393932294948511</v>
      </c>
      <c r="K191" s="214">
        <v>7.3965702615937223</v>
      </c>
      <c r="L191" s="214">
        <v>5.0486116939874828</v>
      </c>
      <c r="M191" s="214">
        <v>1.1992388318528791</v>
      </c>
      <c r="N191" s="214">
        <v>6.247850525840362</v>
      </c>
      <c r="O191" s="19"/>
      <c r="P191" s="226">
        <f t="shared" si="20"/>
        <v>4.8444230986318901</v>
      </c>
      <c r="Q191" s="226">
        <f t="shared" si="21"/>
        <v>6.603256704656765</v>
      </c>
      <c r="R191" s="144"/>
    </row>
    <row r="192" spans="2:18">
      <c r="B192" s="142">
        <f t="shared" si="17"/>
        <v>2037</v>
      </c>
      <c r="C192" s="19">
        <f t="shared" si="18"/>
        <v>5</v>
      </c>
      <c r="D192" s="143">
        <v>50161</v>
      </c>
      <c r="E192" s="19" t="str">
        <f t="shared" si="19"/>
        <v>5-2037</v>
      </c>
      <c r="F192" s="214">
        <v>4.7886245240129544</v>
      </c>
      <c r="G192" s="214">
        <v>1.5378687567268918</v>
      </c>
      <c r="H192" s="214">
        <v>6.3264932807398466</v>
      </c>
      <c r="I192" s="214">
        <v>5.0262728587855605</v>
      </c>
      <c r="J192" s="214">
        <v>2.5393932294948511</v>
      </c>
      <c r="K192" s="214">
        <v>7.5656660882804116</v>
      </c>
      <c r="L192" s="214">
        <v>5.2238601664937674</v>
      </c>
      <c r="M192" s="214">
        <v>1.1992388318528791</v>
      </c>
      <c r="N192" s="214">
        <v>6.4230989983466467</v>
      </c>
      <c r="O192" s="19"/>
      <c r="P192" s="226">
        <f t="shared" si="20"/>
        <v>5.0129191830974271</v>
      </c>
      <c r="Q192" s="226">
        <f t="shared" si="21"/>
        <v>6.7717527891223019</v>
      </c>
      <c r="R192" s="144"/>
    </row>
    <row r="193" spans="2:18">
      <c r="B193" s="142">
        <f t="shared" si="17"/>
        <v>2037</v>
      </c>
      <c r="C193" s="19">
        <f t="shared" si="18"/>
        <v>6</v>
      </c>
      <c r="D193" s="143">
        <v>50192</v>
      </c>
      <c r="E193" s="19" t="str">
        <f t="shared" si="19"/>
        <v>6-2037</v>
      </c>
      <c r="F193" s="214">
        <v>4.9125174159698553</v>
      </c>
      <c r="G193" s="214">
        <v>1.5378687567268918</v>
      </c>
      <c r="H193" s="214">
        <v>6.4503861726967475</v>
      </c>
      <c r="I193" s="214">
        <v>5.1562661451678427</v>
      </c>
      <c r="J193" s="214">
        <v>2.5393932294948511</v>
      </c>
      <c r="K193" s="214">
        <v>7.6956593746626938</v>
      </c>
      <c r="L193" s="214">
        <v>5.3584384500355462</v>
      </c>
      <c r="M193" s="214">
        <v>1.1992388318528791</v>
      </c>
      <c r="N193" s="214">
        <v>6.5576772818884255</v>
      </c>
      <c r="O193" s="19"/>
      <c r="P193" s="226">
        <f t="shared" si="20"/>
        <v>5.1424073370577483</v>
      </c>
      <c r="Q193" s="226">
        <f t="shared" si="21"/>
        <v>6.9012409430826223</v>
      </c>
      <c r="R193" s="144"/>
    </row>
    <row r="194" spans="2:18">
      <c r="B194" s="142">
        <f t="shared" si="17"/>
        <v>2037</v>
      </c>
      <c r="C194" s="19">
        <f t="shared" si="18"/>
        <v>7</v>
      </c>
      <c r="D194" s="143">
        <v>50222</v>
      </c>
      <c r="E194" s="19" t="str">
        <f t="shared" si="19"/>
        <v>7-2037</v>
      </c>
      <c r="F194" s="214">
        <v>4.9515886554843824</v>
      </c>
      <c r="G194" s="214">
        <v>1.5378687567268918</v>
      </c>
      <c r="H194" s="214">
        <v>6.4894574122112747</v>
      </c>
      <c r="I194" s="214">
        <v>5.1972275095108049</v>
      </c>
      <c r="J194" s="214">
        <v>2.5393932294948511</v>
      </c>
      <c r="K194" s="214">
        <v>7.7366207390056561</v>
      </c>
      <c r="L194" s="214">
        <v>5.4004765097762251</v>
      </c>
      <c r="M194" s="214">
        <v>1.1992388318528791</v>
      </c>
      <c r="N194" s="214">
        <v>6.5997153416291043</v>
      </c>
      <c r="O194" s="19"/>
      <c r="P194" s="226">
        <f t="shared" si="20"/>
        <v>5.1830975582571375</v>
      </c>
      <c r="Q194" s="226">
        <f t="shared" si="21"/>
        <v>6.9419311642820114</v>
      </c>
      <c r="R194" s="144"/>
    </row>
    <row r="195" spans="2:18">
      <c r="B195" s="142">
        <f t="shared" si="17"/>
        <v>2037</v>
      </c>
      <c r="C195" s="19">
        <f t="shared" si="18"/>
        <v>8</v>
      </c>
      <c r="D195" s="143">
        <v>50253</v>
      </c>
      <c r="E195" s="19" t="str">
        <f t="shared" si="19"/>
        <v>8-2037</v>
      </c>
      <c r="F195" s="214">
        <v>4.9134395689978501</v>
      </c>
      <c r="G195" s="214">
        <v>1.5378687567268918</v>
      </c>
      <c r="H195" s="214">
        <v>6.4513083257247423</v>
      </c>
      <c r="I195" s="214">
        <v>5.1571377838473751</v>
      </c>
      <c r="J195" s="214">
        <v>2.5393932294948511</v>
      </c>
      <c r="K195" s="214">
        <v>7.6965310133422262</v>
      </c>
      <c r="L195" s="214">
        <v>5.3582936768959719</v>
      </c>
      <c r="M195" s="214">
        <v>1.1992388318528791</v>
      </c>
      <c r="N195" s="214">
        <v>6.5575325087488512</v>
      </c>
      <c r="O195" s="19"/>
      <c r="P195" s="226">
        <f t="shared" si="20"/>
        <v>5.1429570099137321</v>
      </c>
      <c r="Q195" s="226">
        <f t="shared" si="21"/>
        <v>6.901790615938606</v>
      </c>
      <c r="R195" s="144"/>
    </row>
    <row r="196" spans="2:18">
      <c r="B196" s="142">
        <f t="shared" si="17"/>
        <v>2037</v>
      </c>
      <c r="C196" s="19">
        <f t="shared" si="18"/>
        <v>9</v>
      </c>
      <c r="D196" s="143">
        <v>50284</v>
      </c>
      <c r="E196" s="19" t="str">
        <f t="shared" si="19"/>
        <v>9-2037</v>
      </c>
      <c r="F196" s="214">
        <v>4.9826502247128124</v>
      </c>
      <c r="G196" s="214">
        <v>1.5378687567268918</v>
      </c>
      <c r="H196" s="214">
        <v>6.5205189814397038</v>
      </c>
      <c r="I196" s="214">
        <v>5.2297323538756757</v>
      </c>
      <c r="J196" s="214">
        <v>2.5393932294948511</v>
      </c>
      <c r="K196" s="214">
        <v>7.7691255833705268</v>
      </c>
      <c r="L196" s="214">
        <v>5.4331870842202532</v>
      </c>
      <c r="M196" s="214">
        <v>1.1992388318528791</v>
      </c>
      <c r="N196" s="214">
        <v>6.6324259160731325</v>
      </c>
      <c r="O196" s="19"/>
      <c r="P196" s="226">
        <f t="shared" si="20"/>
        <v>5.2151898876029144</v>
      </c>
      <c r="Q196" s="226">
        <f t="shared" si="21"/>
        <v>6.9740234936277874</v>
      </c>
      <c r="R196" s="144"/>
    </row>
    <row r="197" spans="2:18">
      <c r="B197" s="142">
        <f t="shared" si="17"/>
        <v>2037</v>
      </c>
      <c r="C197" s="19">
        <f t="shared" si="18"/>
        <v>10</v>
      </c>
      <c r="D197" s="143">
        <v>50314</v>
      </c>
      <c r="E197" s="19" t="str">
        <f t="shared" si="19"/>
        <v>10-2037</v>
      </c>
      <c r="F197" s="214">
        <v>4.9540359440633921</v>
      </c>
      <c r="G197" s="214">
        <v>1.5378687567268918</v>
      </c>
      <c r="H197" s="214">
        <v>6.4919047007902844</v>
      </c>
      <c r="I197" s="214">
        <v>5.1996505962409714</v>
      </c>
      <c r="J197" s="214">
        <v>2.5393932294948511</v>
      </c>
      <c r="K197" s="214">
        <v>7.7390438257358225</v>
      </c>
      <c r="L197" s="214">
        <v>5.401405334727734</v>
      </c>
      <c r="M197" s="214">
        <v>1.1992388318528791</v>
      </c>
      <c r="N197" s="214">
        <v>6.6006441665806133</v>
      </c>
      <c r="O197" s="19"/>
      <c r="P197" s="226">
        <f t="shared" si="20"/>
        <v>5.1850306250106994</v>
      </c>
      <c r="Q197" s="226">
        <f t="shared" si="21"/>
        <v>6.9438642310355734</v>
      </c>
      <c r="R197" s="144"/>
    </row>
    <row r="198" spans="2:18">
      <c r="B198" s="142">
        <f t="shared" si="17"/>
        <v>2037</v>
      </c>
      <c r="C198" s="19">
        <f t="shared" si="18"/>
        <v>11</v>
      </c>
      <c r="D198" s="143">
        <v>50345</v>
      </c>
      <c r="E198" s="19" t="str">
        <f t="shared" si="19"/>
        <v>11-2037</v>
      </c>
      <c r="F198" s="214">
        <v>5.1990014441004115</v>
      </c>
      <c r="G198" s="214">
        <v>1.5378687567268918</v>
      </c>
      <c r="H198" s="214">
        <v>6.7368702008273029</v>
      </c>
      <c r="I198" s="214">
        <v>5.4567102266612943</v>
      </c>
      <c r="J198" s="214">
        <v>2.5393932294948511</v>
      </c>
      <c r="K198" s="214">
        <v>7.9961034561561455</v>
      </c>
      <c r="L198" s="214">
        <v>5.6678833593819702</v>
      </c>
      <c r="M198" s="214">
        <v>1.1992388318528791</v>
      </c>
      <c r="N198" s="214">
        <v>6.8671221912348495</v>
      </c>
      <c r="O198" s="19"/>
      <c r="P198" s="226">
        <f t="shared" si="20"/>
        <v>5.4411983433812248</v>
      </c>
      <c r="Q198" s="226">
        <f t="shared" si="21"/>
        <v>7.2000319494060996</v>
      </c>
      <c r="R198" s="144"/>
    </row>
    <row r="199" spans="2:18">
      <c r="B199" s="142">
        <f t="shared" si="17"/>
        <v>2037</v>
      </c>
      <c r="C199" s="19">
        <f t="shared" si="18"/>
        <v>12</v>
      </c>
      <c r="D199" s="143">
        <v>50375</v>
      </c>
      <c r="E199" s="19" t="str">
        <f t="shared" si="19"/>
        <v>12-2037</v>
      </c>
      <c r="F199" s="214">
        <v>5.2409234553435518</v>
      </c>
      <c r="G199" s="214">
        <v>1.5378687567268918</v>
      </c>
      <c r="H199" s="214">
        <v>6.778792212070444</v>
      </c>
      <c r="I199" s="214">
        <v>5.5006589127005778</v>
      </c>
      <c r="J199" s="214">
        <v>2.5393932294948511</v>
      </c>
      <c r="K199" s="214">
        <v>8.0400521421954281</v>
      </c>
      <c r="L199" s="214">
        <v>5.7129724049493502</v>
      </c>
      <c r="M199" s="214">
        <v>1.1992388318528791</v>
      </c>
      <c r="N199" s="214">
        <v>6.9122112368022295</v>
      </c>
      <c r="O199" s="19"/>
      <c r="P199" s="226">
        <f t="shared" si="20"/>
        <v>5.4848515909978266</v>
      </c>
      <c r="Q199" s="226">
        <f t="shared" si="21"/>
        <v>7.2436851970227005</v>
      </c>
      <c r="R199" s="144"/>
    </row>
    <row r="200" spans="2:18">
      <c r="B200" s="142">
        <f t="shared" si="17"/>
        <v>2038</v>
      </c>
      <c r="C200" s="19">
        <f t="shared" si="18"/>
        <v>1</v>
      </c>
      <c r="D200" s="143">
        <v>50406</v>
      </c>
      <c r="E200" s="19" t="str">
        <f t="shared" si="19"/>
        <v>1-2038</v>
      </c>
      <c r="F200" s="214">
        <v>5.2413426406584991</v>
      </c>
      <c r="G200" s="214">
        <v>1.5993835069959674</v>
      </c>
      <c r="H200" s="214">
        <v>6.8407261476544665</v>
      </c>
      <c r="I200" s="214">
        <v>5.501047622432429</v>
      </c>
      <c r="J200" s="214">
        <v>2.6409689586746454</v>
      </c>
      <c r="K200" s="214">
        <v>8.1420165811070753</v>
      </c>
      <c r="L200" s="214">
        <v>5.7128715760684585</v>
      </c>
      <c r="M200" s="214">
        <v>1.2472083851269944</v>
      </c>
      <c r="N200" s="214">
        <v>6.9600799611954525</v>
      </c>
      <c r="O200" s="19"/>
      <c r="P200" s="226">
        <f t="shared" si="20"/>
        <v>5.4850872797197958</v>
      </c>
      <c r="Q200" s="226">
        <f t="shared" si="21"/>
        <v>7.3142742299856645</v>
      </c>
      <c r="R200" s="144"/>
    </row>
    <row r="201" spans="2:18">
      <c r="B201" s="142">
        <f t="shared" ref="B201:B247" si="22">YEAR(D201)</f>
        <v>2038</v>
      </c>
      <c r="C201" s="19">
        <f t="shared" ref="C201:C247" si="23">MONTH(D201)</f>
        <v>2</v>
      </c>
      <c r="D201" s="143">
        <v>50437</v>
      </c>
      <c r="E201" s="19" t="str">
        <f t="shared" ref="E201:E264" si="24">C201&amp;"-"&amp;B201</f>
        <v>2-2038</v>
      </c>
      <c r="F201" s="214">
        <v>5.126536549971326</v>
      </c>
      <c r="G201" s="214">
        <v>1.5993835069959674</v>
      </c>
      <c r="H201" s="214">
        <v>6.7259200569672934</v>
      </c>
      <c r="I201" s="214">
        <v>5.3805028381577076</v>
      </c>
      <c r="J201" s="214">
        <v>2.6409689586746454</v>
      </c>
      <c r="K201" s="214">
        <v>8.021471796832353</v>
      </c>
      <c r="L201" s="214">
        <v>5.5871915659468812</v>
      </c>
      <c r="M201" s="214">
        <v>1.2472083851269944</v>
      </c>
      <c r="N201" s="214">
        <v>6.8343999510738751</v>
      </c>
      <c r="O201" s="19"/>
      <c r="P201" s="226">
        <f t="shared" ref="P201:P264" si="25">AVERAGE(F201,I201,L201)</f>
        <v>5.364743651358638</v>
      </c>
      <c r="Q201" s="226">
        <f t="shared" ref="Q201:Q264" si="26">AVERAGE(H201,K201,N201)</f>
        <v>7.1939306016245075</v>
      </c>
      <c r="R201" s="144"/>
    </row>
    <row r="202" spans="2:18">
      <c r="B202" s="142">
        <f t="shared" si="22"/>
        <v>2038</v>
      </c>
      <c r="C202" s="19">
        <f t="shared" si="23"/>
        <v>3</v>
      </c>
      <c r="D202" s="143">
        <v>50465</v>
      </c>
      <c r="E202" s="19" t="str">
        <f t="shared" si="24"/>
        <v>3-2038</v>
      </c>
      <c r="F202" s="214">
        <v>4.7062754220412009</v>
      </c>
      <c r="G202" s="214">
        <v>1.5993835069959674</v>
      </c>
      <c r="H202" s="214">
        <v>6.3056589290371683</v>
      </c>
      <c r="I202" s="214">
        <v>4.9393761433394774</v>
      </c>
      <c r="J202" s="214">
        <v>2.6409689586746454</v>
      </c>
      <c r="K202" s="214">
        <v>7.5803451020141228</v>
      </c>
      <c r="L202" s="214">
        <v>5.1286661785865792</v>
      </c>
      <c r="M202" s="214">
        <v>1.2472083851269944</v>
      </c>
      <c r="N202" s="214">
        <v>6.3758745637135732</v>
      </c>
      <c r="O202" s="19"/>
      <c r="P202" s="226">
        <f t="shared" si="25"/>
        <v>4.9247725813224195</v>
      </c>
      <c r="Q202" s="226">
        <f t="shared" si="26"/>
        <v>6.753959531588289</v>
      </c>
      <c r="R202" s="144"/>
    </row>
    <row r="203" spans="2:18">
      <c r="B203" s="142">
        <f t="shared" si="22"/>
        <v>2038</v>
      </c>
      <c r="C203" s="19">
        <f t="shared" si="23"/>
        <v>4</v>
      </c>
      <c r="D203" s="143">
        <v>50496</v>
      </c>
      <c r="E203" s="19" t="str">
        <f t="shared" si="24"/>
        <v>4-2038</v>
      </c>
      <c r="F203" s="214">
        <v>4.6262954889098555</v>
      </c>
      <c r="G203" s="214">
        <v>1.5993835069959674</v>
      </c>
      <c r="H203" s="214">
        <v>6.225678995905823</v>
      </c>
      <c r="I203" s="214">
        <v>4.8553895812883194</v>
      </c>
      <c r="J203" s="214">
        <v>2.6409689586746454</v>
      </c>
      <c r="K203" s="214">
        <v>7.4963585399629649</v>
      </c>
      <c r="L203" s="214">
        <v>5.041015625576982</v>
      </c>
      <c r="M203" s="214">
        <v>1.2472083851269944</v>
      </c>
      <c r="N203" s="214">
        <v>6.288224010703976</v>
      </c>
      <c r="O203" s="19"/>
      <c r="P203" s="226">
        <f t="shared" si="25"/>
        <v>4.840900231925052</v>
      </c>
      <c r="Q203" s="226">
        <f t="shared" si="26"/>
        <v>6.6700871821909216</v>
      </c>
      <c r="R203" s="144"/>
    </row>
    <row r="204" spans="2:18">
      <c r="B204" s="142">
        <f t="shared" si="22"/>
        <v>2038</v>
      </c>
      <c r="C204" s="19">
        <f t="shared" si="23"/>
        <v>5</v>
      </c>
      <c r="D204" s="143">
        <v>50526</v>
      </c>
      <c r="E204" s="19" t="str">
        <f t="shared" si="24"/>
        <v>5-2038</v>
      </c>
      <c r="F204" s="214">
        <v>4.7874071595275884</v>
      </c>
      <c r="G204" s="214">
        <v>1.5993835069959674</v>
      </c>
      <c r="H204" s="214">
        <v>6.3867906665235559</v>
      </c>
      <c r="I204" s="214">
        <v>5.0244326807790713</v>
      </c>
      <c r="J204" s="214">
        <v>2.6409689586746454</v>
      </c>
      <c r="K204" s="214">
        <v>7.6654016394537168</v>
      </c>
      <c r="L204" s="214">
        <v>5.2160604629550074</v>
      </c>
      <c r="M204" s="214">
        <v>1.2472083851269944</v>
      </c>
      <c r="N204" s="214">
        <v>6.4632688480820022</v>
      </c>
      <c r="O204" s="19"/>
      <c r="P204" s="226">
        <f t="shared" si="25"/>
        <v>5.0093001010872227</v>
      </c>
      <c r="Q204" s="226">
        <f t="shared" si="26"/>
        <v>6.8384870513530913</v>
      </c>
      <c r="R204" s="144"/>
    </row>
    <row r="205" spans="2:18">
      <c r="B205" s="142">
        <f t="shared" si="22"/>
        <v>2038</v>
      </c>
      <c r="C205" s="19">
        <f t="shared" si="23"/>
        <v>6</v>
      </c>
      <c r="D205" s="143">
        <v>50557</v>
      </c>
      <c r="E205" s="19" t="str">
        <f t="shared" si="24"/>
        <v>6-2038</v>
      </c>
      <c r="F205" s="214">
        <v>4.911277773079922</v>
      </c>
      <c r="G205" s="214">
        <v>1.5993835069959674</v>
      </c>
      <c r="H205" s="214">
        <v>6.5106612800758894</v>
      </c>
      <c r="I205" s="214">
        <v>5.1543881218015581</v>
      </c>
      <c r="J205" s="214">
        <v>2.6409689586746454</v>
      </c>
      <c r="K205" s="214">
        <v>7.7953570804762036</v>
      </c>
      <c r="L205" s="214">
        <v>5.350499412667105</v>
      </c>
      <c r="M205" s="214">
        <v>1.2472083851269944</v>
      </c>
      <c r="N205" s="214">
        <v>6.597707797794099</v>
      </c>
      <c r="O205" s="19"/>
      <c r="P205" s="226">
        <f t="shared" si="25"/>
        <v>5.1387217691828617</v>
      </c>
      <c r="Q205" s="226">
        <f t="shared" si="26"/>
        <v>6.9679087194487304</v>
      </c>
      <c r="R205" s="144"/>
    </row>
    <row r="206" spans="2:18">
      <c r="B206" s="142">
        <f t="shared" si="22"/>
        <v>2038</v>
      </c>
      <c r="C206" s="19">
        <f t="shared" si="23"/>
        <v>7</v>
      </c>
      <c r="D206" s="143">
        <v>50587</v>
      </c>
      <c r="E206" s="19" t="str">
        <f t="shared" si="24"/>
        <v>7-2038</v>
      </c>
      <c r="F206" s="214">
        <v>4.9503484445884638</v>
      </c>
      <c r="G206" s="214">
        <v>1.5993835069959674</v>
      </c>
      <c r="H206" s="214">
        <v>6.5497319515844312</v>
      </c>
      <c r="I206" s="214">
        <v>5.1953443918964766</v>
      </c>
      <c r="J206" s="214">
        <v>2.6409689586746454</v>
      </c>
      <c r="K206" s="214">
        <v>7.836313350571122</v>
      </c>
      <c r="L206" s="214">
        <v>5.3925372922911556</v>
      </c>
      <c r="M206" s="214">
        <v>1.2472083851269944</v>
      </c>
      <c r="N206" s="214">
        <v>6.6397456774181496</v>
      </c>
      <c r="O206" s="19"/>
      <c r="P206" s="226">
        <f t="shared" si="25"/>
        <v>5.1794100429253653</v>
      </c>
      <c r="Q206" s="226">
        <f t="shared" si="26"/>
        <v>7.008596993191234</v>
      </c>
      <c r="R206" s="144"/>
    </row>
    <row r="207" spans="2:18">
      <c r="B207" s="142">
        <f t="shared" si="22"/>
        <v>2038</v>
      </c>
      <c r="C207" s="19">
        <f t="shared" si="23"/>
        <v>8</v>
      </c>
      <c r="D207" s="143">
        <v>50618</v>
      </c>
      <c r="E207" s="19" t="str">
        <f t="shared" si="24"/>
        <v>8-2038</v>
      </c>
      <c r="F207" s="214">
        <v>4.9122181333957329</v>
      </c>
      <c r="G207" s="214">
        <v>1.5993835069959674</v>
      </c>
      <c r="H207" s="214">
        <v>6.5116016403917003</v>
      </c>
      <c r="I207" s="214">
        <v>5.1552789415807894</v>
      </c>
      <c r="J207" s="214">
        <v>2.6409689586746454</v>
      </c>
      <c r="K207" s="214">
        <v>7.7962479002554348</v>
      </c>
      <c r="L207" s="214">
        <v>5.350478106344454</v>
      </c>
      <c r="M207" s="214">
        <v>1.2472083851269944</v>
      </c>
      <c r="N207" s="214">
        <v>6.5976864914714479</v>
      </c>
      <c r="O207" s="19"/>
      <c r="P207" s="226">
        <f t="shared" si="25"/>
        <v>5.1393250604403251</v>
      </c>
      <c r="Q207" s="226">
        <f t="shared" si="26"/>
        <v>6.9685120107061946</v>
      </c>
      <c r="R207" s="144"/>
    </row>
    <row r="208" spans="2:18">
      <c r="B208" s="142">
        <f t="shared" si="22"/>
        <v>2038</v>
      </c>
      <c r="C208" s="19">
        <f t="shared" si="23"/>
        <v>9</v>
      </c>
      <c r="D208" s="143">
        <v>50649</v>
      </c>
      <c r="E208" s="19" t="str">
        <f t="shared" si="24"/>
        <v>9-2038</v>
      </c>
      <c r="F208" s="214">
        <v>4.9814209344649178</v>
      </c>
      <c r="G208" s="214">
        <v>1.5993835069959674</v>
      </c>
      <c r="H208" s="214">
        <v>6.5808044414608853</v>
      </c>
      <c r="I208" s="214">
        <v>5.2278572330218642</v>
      </c>
      <c r="J208" s="214">
        <v>2.6409689586746454</v>
      </c>
      <c r="K208" s="214">
        <v>7.8688261916965097</v>
      </c>
      <c r="L208" s="214">
        <v>5.4253247864227339</v>
      </c>
      <c r="M208" s="214">
        <v>1.2472083851269944</v>
      </c>
      <c r="N208" s="214">
        <v>6.6725331715497287</v>
      </c>
      <c r="O208" s="19"/>
      <c r="P208" s="226">
        <f t="shared" si="25"/>
        <v>5.2115343179698392</v>
      </c>
      <c r="Q208" s="226">
        <f t="shared" si="26"/>
        <v>7.040721268235707</v>
      </c>
      <c r="R208" s="144"/>
    </row>
    <row r="209" spans="2:18">
      <c r="B209" s="142">
        <f t="shared" si="22"/>
        <v>2038</v>
      </c>
      <c r="C209" s="19">
        <f t="shared" si="23"/>
        <v>10</v>
      </c>
      <c r="D209" s="143">
        <v>50679</v>
      </c>
      <c r="E209" s="19" t="str">
        <f t="shared" si="24"/>
        <v>10-2038</v>
      </c>
      <c r="F209" s="214">
        <v>4.952823010556453</v>
      </c>
      <c r="G209" s="214">
        <v>1.5993835069959674</v>
      </c>
      <c r="H209" s="214">
        <v>6.5522065175524205</v>
      </c>
      <c r="I209" s="214">
        <v>5.1977960923946656</v>
      </c>
      <c r="J209" s="214">
        <v>2.6409689586746454</v>
      </c>
      <c r="K209" s="214">
        <v>7.838765051069311</v>
      </c>
      <c r="L209" s="214">
        <v>5.3936511900873123</v>
      </c>
      <c r="M209" s="214">
        <v>1.2472083851269944</v>
      </c>
      <c r="N209" s="214">
        <v>6.6408595752143071</v>
      </c>
      <c r="O209" s="19"/>
      <c r="P209" s="226">
        <f t="shared" si="25"/>
        <v>5.18142343101281</v>
      </c>
      <c r="Q209" s="226">
        <f t="shared" si="26"/>
        <v>7.0106103812786786</v>
      </c>
      <c r="R209" s="144"/>
    </row>
    <row r="210" spans="2:18">
      <c r="B210" s="142">
        <f t="shared" si="22"/>
        <v>2038</v>
      </c>
      <c r="C210" s="19">
        <f t="shared" si="23"/>
        <v>11</v>
      </c>
      <c r="D210" s="143">
        <v>50710</v>
      </c>
      <c r="E210" s="19" t="str">
        <f t="shared" si="24"/>
        <v>11-2038</v>
      </c>
      <c r="F210" s="214">
        <v>5.1977382912127901</v>
      </c>
      <c r="G210" s="214">
        <v>1.5993835069959674</v>
      </c>
      <c r="H210" s="214">
        <v>6.7971217982087575</v>
      </c>
      <c r="I210" s="214">
        <v>5.4547743579726014</v>
      </c>
      <c r="J210" s="214">
        <v>2.6409689586746454</v>
      </c>
      <c r="K210" s="214">
        <v>8.0957433166472477</v>
      </c>
      <c r="L210" s="214">
        <v>5.6598119102861038</v>
      </c>
      <c r="M210" s="214">
        <v>1.2472083851269944</v>
      </c>
      <c r="N210" s="214">
        <v>6.9070202954130977</v>
      </c>
      <c r="O210" s="19"/>
      <c r="P210" s="226">
        <f t="shared" si="25"/>
        <v>5.4374415198238317</v>
      </c>
      <c r="Q210" s="226">
        <f t="shared" si="26"/>
        <v>7.2666284700897004</v>
      </c>
      <c r="R210" s="144"/>
    </row>
    <row r="211" spans="2:18">
      <c r="B211" s="142">
        <f t="shared" si="22"/>
        <v>2038</v>
      </c>
      <c r="C211" s="19">
        <f t="shared" si="23"/>
        <v>12</v>
      </c>
      <c r="D211" s="143">
        <v>50740</v>
      </c>
      <c r="E211" s="19" t="str">
        <f t="shared" si="24"/>
        <v>12-2038</v>
      </c>
      <c r="F211" s="214">
        <v>5.2396599535128905</v>
      </c>
      <c r="G211" s="214">
        <v>1.5993835069959674</v>
      </c>
      <c r="H211" s="214">
        <v>6.8390434605088579</v>
      </c>
      <c r="I211" s="214">
        <v>5.4987178540268546</v>
      </c>
      <c r="J211" s="214">
        <v>2.6409689586746454</v>
      </c>
      <c r="K211" s="214">
        <v>8.1396868127015001</v>
      </c>
      <c r="L211" s="214">
        <v>5.7049025278970635</v>
      </c>
      <c r="M211" s="214">
        <v>1.2472083851269944</v>
      </c>
      <c r="N211" s="214">
        <v>6.9521109130240575</v>
      </c>
      <c r="O211" s="19"/>
      <c r="P211" s="226">
        <f t="shared" si="25"/>
        <v>5.4810934451456035</v>
      </c>
      <c r="Q211" s="226">
        <f t="shared" si="26"/>
        <v>7.3102803954114721</v>
      </c>
      <c r="R211" s="144"/>
    </row>
    <row r="212" spans="2:18">
      <c r="B212" s="142">
        <f t="shared" si="22"/>
        <v>2039</v>
      </c>
      <c r="C212" s="19">
        <f t="shared" si="23"/>
        <v>1</v>
      </c>
      <c r="D212" s="143">
        <v>50771</v>
      </c>
      <c r="E212" s="19" t="str">
        <f t="shared" si="24"/>
        <v>1-2039</v>
      </c>
      <c r="F212" s="214">
        <v>5.240078087577932</v>
      </c>
      <c r="G212" s="214">
        <v>1.6633588472758065</v>
      </c>
      <c r="H212" s="214">
        <v>6.9034369348537385</v>
      </c>
      <c r="I212" s="214">
        <v>5.4991019502432614</v>
      </c>
      <c r="J212" s="214">
        <v>2.7466077170216305</v>
      </c>
      <c r="K212" s="214">
        <v>8.245709667264892</v>
      </c>
      <c r="L212" s="214">
        <v>5.704895314314701</v>
      </c>
      <c r="M212" s="214">
        <v>1.2970967205320743</v>
      </c>
      <c r="N212" s="214">
        <v>7.0019920348467757</v>
      </c>
      <c r="O212" s="19"/>
      <c r="P212" s="226">
        <f t="shared" si="25"/>
        <v>5.4813584507119648</v>
      </c>
      <c r="Q212" s="226">
        <f t="shared" si="26"/>
        <v>7.3837128789884687</v>
      </c>
      <c r="R212" s="144"/>
    </row>
    <row r="213" spans="2:18">
      <c r="B213" s="142">
        <f t="shared" si="22"/>
        <v>2039</v>
      </c>
      <c r="C213" s="19">
        <f t="shared" si="23"/>
        <v>2</v>
      </c>
      <c r="D213" s="143">
        <v>50802</v>
      </c>
      <c r="E213" s="19" t="str">
        <f t="shared" si="24"/>
        <v>2-2039</v>
      </c>
      <c r="F213" s="214">
        <v>5.1252987661787213</v>
      </c>
      <c r="G213" s="214">
        <v>1.6633588472758065</v>
      </c>
      <c r="H213" s="214">
        <v>6.7886576134545278</v>
      </c>
      <c r="I213" s="214">
        <v>5.3785954230835822</v>
      </c>
      <c r="J213" s="214">
        <v>2.7466077170216305</v>
      </c>
      <c r="K213" s="214">
        <v>8.1252031401052136</v>
      </c>
      <c r="L213" s="214">
        <v>5.5794822155812005</v>
      </c>
      <c r="M213" s="214">
        <v>1.2970967205320743</v>
      </c>
      <c r="N213" s="214">
        <v>6.8765789361132743</v>
      </c>
      <c r="O213" s="19"/>
      <c r="P213" s="226">
        <f t="shared" si="25"/>
        <v>5.3611254682811689</v>
      </c>
      <c r="Q213" s="226">
        <f t="shared" si="26"/>
        <v>7.2634798965576719</v>
      </c>
      <c r="R213" s="144"/>
    </row>
    <row r="214" spans="2:18">
      <c r="B214" s="142">
        <f t="shared" si="22"/>
        <v>2039</v>
      </c>
      <c r="C214" s="19">
        <f t="shared" si="23"/>
        <v>3</v>
      </c>
      <c r="D214" s="143">
        <v>50830</v>
      </c>
      <c r="E214" s="19" t="str">
        <f t="shared" si="24"/>
        <v>3-2039</v>
      </c>
      <c r="F214" s="214">
        <v>4.7051382555262844</v>
      </c>
      <c r="G214" s="214">
        <v>1.6633588472758065</v>
      </c>
      <c r="H214" s="214">
        <v>6.3684971028020909</v>
      </c>
      <c r="I214" s="214">
        <v>4.9376210901030131</v>
      </c>
      <c r="J214" s="214">
        <v>2.7466077170216305</v>
      </c>
      <c r="K214" s="214">
        <v>7.6842288071246436</v>
      </c>
      <c r="L214" s="214">
        <v>5.1216734670691899</v>
      </c>
      <c r="M214" s="214">
        <v>1.2970967205320743</v>
      </c>
      <c r="N214" s="214">
        <v>6.4187701876012646</v>
      </c>
      <c r="O214" s="19"/>
      <c r="P214" s="226">
        <f t="shared" si="25"/>
        <v>4.9214776042328294</v>
      </c>
      <c r="Q214" s="226">
        <f t="shared" si="26"/>
        <v>6.8238320325093333</v>
      </c>
      <c r="R214" s="144"/>
    </row>
    <row r="215" spans="2:18">
      <c r="B215" s="142">
        <f t="shared" si="22"/>
        <v>2039</v>
      </c>
      <c r="C215" s="19">
        <f t="shared" si="23"/>
        <v>4</v>
      </c>
      <c r="D215" s="143">
        <v>50861</v>
      </c>
      <c r="E215" s="19" t="str">
        <f t="shared" si="24"/>
        <v>4-2039</v>
      </c>
      <c r="F215" s="214">
        <v>4.625176808970668</v>
      </c>
      <c r="G215" s="214">
        <v>1.6633588472758065</v>
      </c>
      <c r="H215" s="214">
        <v>6.2885356562464745</v>
      </c>
      <c r="I215" s="214">
        <v>4.8536604184002083</v>
      </c>
      <c r="J215" s="214">
        <v>2.7466077170216305</v>
      </c>
      <c r="K215" s="214">
        <v>7.6002681354218389</v>
      </c>
      <c r="L215" s="214">
        <v>5.0342249601329723</v>
      </c>
      <c r="M215" s="214">
        <v>1.2970967205320743</v>
      </c>
      <c r="N215" s="214">
        <v>6.331321680665047</v>
      </c>
      <c r="O215" s="19"/>
      <c r="P215" s="226">
        <f t="shared" si="25"/>
        <v>4.8376873958346165</v>
      </c>
      <c r="Q215" s="226">
        <f t="shared" si="26"/>
        <v>6.7400418241111195</v>
      </c>
      <c r="R215" s="144"/>
    </row>
    <row r="216" spans="2:18">
      <c r="B216" s="142">
        <f t="shared" si="22"/>
        <v>2039</v>
      </c>
      <c r="C216" s="19">
        <f t="shared" si="23"/>
        <v>5</v>
      </c>
      <c r="D216" s="143">
        <v>50891</v>
      </c>
      <c r="E216" s="19" t="str">
        <f t="shared" si="24"/>
        <v>5-2039</v>
      </c>
      <c r="F216" s="214">
        <v>4.786248653296898</v>
      </c>
      <c r="G216" s="214">
        <v>1.6633588472758065</v>
      </c>
      <c r="H216" s="214">
        <v>6.4496075005727045</v>
      </c>
      <c r="I216" s="214">
        <v>5.0226392266431459</v>
      </c>
      <c r="J216" s="214">
        <v>2.7466077170216305</v>
      </c>
      <c r="K216" s="214">
        <v>7.7692469436647764</v>
      </c>
      <c r="L216" s="214">
        <v>5.209119422199044</v>
      </c>
      <c r="M216" s="214">
        <v>1.2970967205320743</v>
      </c>
      <c r="N216" s="214">
        <v>6.5062161427311178</v>
      </c>
      <c r="O216" s="19"/>
      <c r="P216" s="226">
        <f t="shared" si="25"/>
        <v>5.0060024340463629</v>
      </c>
      <c r="Q216" s="226">
        <f t="shared" si="26"/>
        <v>6.9083568623228659</v>
      </c>
      <c r="R216" s="144"/>
    </row>
    <row r="217" spans="2:18">
      <c r="B217" s="142">
        <f t="shared" si="22"/>
        <v>2039</v>
      </c>
      <c r="C217" s="19">
        <f t="shared" si="23"/>
        <v>6</v>
      </c>
      <c r="D217" s="143">
        <v>50922</v>
      </c>
      <c r="E217" s="19" t="str">
        <f t="shared" si="24"/>
        <v>6-2039</v>
      </c>
      <c r="F217" s="214">
        <v>4.9100884008254759</v>
      </c>
      <c r="G217" s="214">
        <v>1.6633588472758065</v>
      </c>
      <c r="H217" s="214">
        <v>6.5734472481012824</v>
      </c>
      <c r="I217" s="214">
        <v>5.1525440850173281</v>
      </c>
      <c r="J217" s="214">
        <v>2.7466077170216305</v>
      </c>
      <c r="K217" s="214">
        <v>7.8991518020389586</v>
      </c>
      <c r="L217" s="214">
        <v>5.3434671202090165</v>
      </c>
      <c r="M217" s="214">
        <v>1.2970967205320743</v>
      </c>
      <c r="N217" s="214">
        <v>6.6405638407410912</v>
      </c>
      <c r="O217" s="19"/>
      <c r="P217" s="226">
        <f t="shared" si="25"/>
        <v>5.1353665353506068</v>
      </c>
      <c r="Q217" s="226">
        <f t="shared" si="26"/>
        <v>7.0377209636271116</v>
      </c>
      <c r="R217" s="144"/>
    </row>
    <row r="218" spans="2:18">
      <c r="B218" s="142">
        <f t="shared" si="22"/>
        <v>2039</v>
      </c>
      <c r="C218" s="19">
        <f t="shared" si="23"/>
        <v>7</v>
      </c>
      <c r="D218" s="143">
        <v>50952</v>
      </c>
      <c r="E218" s="19" t="str">
        <f t="shared" si="24"/>
        <v>7-2039</v>
      </c>
      <c r="F218" s="214">
        <v>4.9491487128711</v>
      </c>
      <c r="G218" s="214">
        <v>1.6633588472758065</v>
      </c>
      <c r="H218" s="214">
        <v>6.6125075601469065</v>
      </c>
      <c r="I218" s="214">
        <v>5.1934814734921622</v>
      </c>
      <c r="J218" s="214">
        <v>2.7466077170216305</v>
      </c>
      <c r="K218" s="214">
        <v>7.9400891905137927</v>
      </c>
      <c r="L218" s="214">
        <v>5.3855381048156987</v>
      </c>
      <c r="M218" s="214">
        <v>1.2970967205320743</v>
      </c>
      <c r="N218" s="214">
        <v>6.6826348253477725</v>
      </c>
      <c r="O218" s="19"/>
      <c r="P218" s="226">
        <f t="shared" si="25"/>
        <v>5.1760560970596536</v>
      </c>
      <c r="Q218" s="226">
        <f t="shared" si="26"/>
        <v>7.0784105253361576</v>
      </c>
      <c r="R218" s="144"/>
    </row>
    <row r="219" spans="2:18">
      <c r="B219" s="142">
        <f t="shared" si="22"/>
        <v>2039</v>
      </c>
      <c r="C219" s="19">
        <f t="shared" si="23"/>
        <v>8</v>
      </c>
      <c r="D219" s="143">
        <v>50983</v>
      </c>
      <c r="E219" s="19" t="str">
        <f t="shared" si="24"/>
        <v>8-2039</v>
      </c>
      <c r="F219" s="214">
        <v>4.9110267518976638</v>
      </c>
      <c r="G219" s="214">
        <v>1.6633588472758065</v>
      </c>
      <c r="H219" s="214">
        <v>6.5743855991734703</v>
      </c>
      <c r="I219" s="214">
        <v>5.1534261929133018</v>
      </c>
      <c r="J219" s="214">
        <v>2.7466077170216305</v>
      </c>
      <c r="K219" s="214">
        <v>7.9000339099349324</v>
      </c>
      <c r="L219" s="214">
        <v>5.3436211970692984</v>
      </c>
      <c r="M219" s="214">
        <v>1.2970967205320743</v>
      </c>
      <c r="N219" s="214">
        <v>6.6407179176013731</v>
      </c>
      <c r="O219" s="19"/>
      <c r="P219" s="226">
        <f t="shared" si="25"/>
        <v>5.1360247139600883</v>
      </c>
      <c r="Q219" s="226">
        <f t="shared" si="26"/>
        <v>7.0383791422365922</v>
      </c>
      <c r="R219" s="144"/>
    </row>
    <row r="220" spans="2:18">
      <c r="B220" s="142">
        <f t="shared" si="22"/>
        <v>2039</v>
      </c>
      <c r="C220" s="19">
        <f t="shared" si="23"/>
        <v>9</v>
      </c>
      <c r="D220" s="143">
        <v>51014</v>
      </c>
      <c r="E220" s="19" t="str">
        <f t="shared" si="24"/>
        <v>9-2039</v>
      </c>
      <c r="F220" s="214">
        <v>4.9802118655515066</v>
      </c>
      <c r="G220" s="214">
        <v>1.6633588472758065</v>
      </c>
      <c r="H220" s="214">
        <v>6.6435707128273132</v>
      </c>
      <c r="I220" s="214">
        <v>5.2259741444926684</v>
      </c>
      <c r="J220" s="214">
        <v>2.7466077170216305</v>
      </c>
      <c r="K220" s="214">
        <v>7.9725818615142989</v>
      </c>
      <c r="L220" s="214">
        <v>5.4184608928492715</v>
      </c>
      <c r="M220" s="214">
        <v>1.2970967205320743</v>
      </c>
      <c r="N220" s="214">
        <v>6.7155576133813462</v>
      </c>
      <c r="O220" s="19"/>
      <c r="P220" s="226">
        <f t="shared" si="25"/>
        <v>5.2082156342978152</v>
      </c>
      <c r="Q220" s="226">
        <f t="shared" si="26"/>
        <v>7.1105700625743191</v>
      </c>
      <c r="R220" s="144"/>
    </row>
    <row r="221" spans="2:18">
      <c r="B221" s="142">
        <f t="shared" si="22"/>
        <v>2039</v>
      </c>
      <c r="C221" s="19">
        <f t="shared" si="23"/>
        <v>10</v>
      </c>
      <c r="D221" s="143">
        <v>51044</v>
      </c>
      <c r="E221" s="19" t="str">
        <f t="shared" si="24"/>
        <v>10-2039</v>
      </c>
      <c r="F221" s="214">
        <v>4.9516199845964355</v>
      </c>
      <c r="G221" s="214">
        <v>1.6633588472758065</v>
      </c>
      <c r="H221" s="214">
        <v>6.614978831872242</v>
      </c>
      <c r="I221" s="214">
        <v>5.1959196001464427</v>
      </c>
      <c r="J221" s="214">
        <v>2.7466077170216305</v>
      </c>
      <c r="K221" s="214">
        <v>7.9425273171680733</v>
      </c>
      <c r="L221" s="214">
        <v>5.3869158057673703</v>
      </c>
      <c r="M221" s="214">
        <v>1.2970967205320743</v>
      </c>
      <c r="N221" s="214">
        <v>6.6840125262994441</v>
      </c>
      <c r="O221" s="19"/>
      <c r="P221" s="226">
        <f t="shared" si="25"/>
        <v>5.1781517968367501</v>
      </c>
      <c r="Q221" s="226">
        <f t="shared" si="26"/>
        <v>7.0805062251132531</v>
      </c>
      <c r="R221" s="144"/>
    </row>
    <row r="222" spans="2:18">
      <c r="B222" s="142">
        <f t="shared" si="22"/>
        <v>2039</v>
      </c>
      <c r="C222" s="19">
        <f t="shared" si="23"/>
        <v>11</v>
      </c>
      <c r="D222" s="143">
        <v>51075</v>
      </c>
      <c r="E222" s="19" t="str">
        <f t="shared" si="24"/>
        <v>11-2039</v>
      </c>
      <c r="F222" s="214">
        <v>5.1964748333955342</v>
      </c>
      <c r="G222" s="214">
        <v>1.6633588472758065</v>
      </c>
      <c r="H222" s="214">
        <v>6.8598336806713407</v>
      </c>
      <c r="I222" s="214">
        <v>5.4528006509203131</v>
      </c>
      <c r="J222" s="214">
        <v>2.7466077170216305</v>
      </c>
      <c r="K222" s="214">
        <v>8.1994083679419436</v>
      </c>
      <c r="L222" s="214">
        <v>5.65283697782196</v>
      </c>
      <c r="M222" s="214">
        <v>1.2970967205320743</v>
      </c>
      <c r="N222" s="214">
        <v>6.9499336983540339</v>
      </c>
      <c r="O222" s="19"/>
      <c r="P222" s="226">
        <f t="shared" si="25"/>
        <v>5.4340374873792685</v>
      </c>
      <c r="Q222" s="226">
        <f t="shared" si="26"/>
        <v>7.3363919156557733</v>
      </c>
      <c r="R222" s="144"/>
    </row>
    <row r="223" spans="2:18">
      <c r="B223" s="142">
        <f t="shared" si="22"/>
        <v>2039</v>
      </c>
      <c r="C223" s="19">
        <f t="shared" si="23"/>
        <v>12</v>
      </c>
      <c r="D223" s="143">
        <v>51105</v>
      </c>
      <c r="E223" s="19" t="str">
        <f t="shared" si="24"/>
        <v>12-2039</v>
      </c>
      <c r="F223" s="214">
        <v>5.2383853551397266</v>
      </c>
      <c r="G223" s="214">
        <v>1.6633588472758065</v>
      </c>
      <c r="H223" s="214">
        <v>6.9017442024155331</v>
      </c>
      <c r="I223" s="214">
        <v>5.4967237695017825</v>
      </c>
      <c r="J223" s="214">
        <v>2.7466077170216305</v>
      </c>
      <c r="K223" s="214">
        <v>8.2433314865234131</v>
      </c>
      <c r="L223" s="214">
        <v>5.6979656122025739</v>
      </c>
      <c r="M223" s="214">
        <v>1.2970967205320743</v>
      </c>
      <c r="N223" s="214">
        <v>6.9950623327346477</v>
      </c>
      <c r="O223" s="19"/>
      <c r="P223" s="226">
        <f t="shared" si="25"/>
        <v>5.4776915789480283</v>
      </c>
      <c r="Q223" s="226">
        <f t="shared" si="26"/>
        <v>7.3800460072245313</v>
      </c>
      <c r="R223" s="144"/>
    </row>
    <row r="224" spans="2:18">
      <c r="B224" s="142">
        <f t="shared" si="22"/>
        <v>2040</v>
      </c>
      <c r="C224" s="19">
        <f t="shared" si="23"/>
        <v>1</v>
      </c>
      <c r="D224" s="143">
        <v>51136</v>
      </c>
      <c r="E224" s="19" t="str">
        <f t="shared" si="24"/>
        <v>1-2040</v>
      </c>
      <c r="F224" s="214">
        <v>5.2385772367395109</v>
      </c>
      <c r="G224" s="214">
        <v>1.7298932011668384</v>
      </c>
      <c r="H224" s="214">
        <v>6.9684704379063493</v>
      </c>
      <c r="I224" s="214">
        <v>5.4968535339868758</v>
      </c>
      <c r="J224" s="214">
        <v>2.8564720257024967</v>
      </c>
      <c r="K224" s="214">
        <v>8.3533255596893721</v>
      </c>
      <c r="L224" s="214">
        <v>5.6981018980023252</v>
      </c>
      <c r="M224" s="214">
        <v>1.3489805893533571</v>
      </c>
      <c r="N224" s="214">
        <v>7.0470824873556825</v>
      </c>
      <c r="O224" s="19"/>
      <c r="P224" s="226">
        <f t="shared" si="25"/>
        <v>5.477844222909571</v>
      </c>
      <c r="Q224" s="226">
        <f t="shared" si="26"/>
        <v>7.4562928283171344</v>
      </c>
      <c r="R224" s="144"/>
    </row>
    <row r="225" spans="2:18">
      <c r="B225" s="142">
        <f t="shared" si="22"/>
        <v>2040</v>
      </c>
      <c r="C225" s="19">
        <f t="shared" si="23"/>
        <v>2</v>
      </c>
      <c r="D225" s="143">
        <v>51167</v>
      </c>
      <c r="E225" s="19" t="str">
        <f t="shared" si="24"/>
        <v>2-2040</v>
      </c>
      <c r="F225" s="214">
        <v>5.1236095840791478</v>
      </c>
      <c r="G225" s="214">
        <v>1.7298932011668384</v>
      </c>
      <c r="H225" s="214">
        <v>6.8535027852459862</v>
      </c>
      <c r="I225" s="214">
        <v>5.3761476411648497</v>
      </c>
      <c r="J225" s="214">
        <v>2.8564720257024967</v>
      </c>
      <c r="K225" s="214">
        <v>8.2326196668673468</v>
      </c>
      <c r="L225" s="214">
        <v>5.5729785064225874</v>
      </c>
      <c r="M225" s="214">
        <v>1.3489805893533571</v>
      </c>
      <c r="N225" s="214">
        <v>6.9219590957759447</v>
      </c>
      <c r="O225" s="19"/>
      <c r="P225" s="226">
        <f t="shared" si="25"/>
        <v>5.3575785772221947</v>
      </c>
      <c r="Q225" s="226">
        <f t="shared" si="26"/>
        <v>7.3360271826297589</v>
      </c>
      <c r="R225" s="144"/>
    </row>
    <row r="226" spans="2:18">
      <c r="B226" s="142">
        <f t="shared" si="22"/>
        <v>2040</v>
      </c>
      <c r="C226" s="19">
        <f t="shared" si="23"/>
        <v>3</v>
      </c>
      <c r="D226" s="143">
        <v>51196</v>
      </c>
      <c r="E226" s="19" t="str">
        <f t="shared" si="24"/>
        <v>3-2040</v>
      </c>
      <c r="F226" s="214">
        <v>4.7033844684521124</v>
      </c>
      <c r="G226" s="214">
        <v>1.7298932011668384</v>
      </c>
      <c r="H226" s="214">
        <v>6.4332776696189509</v>
      </c>
      <c r="I226" s="214">
        <v>4.93514572827827</v>
      </c>
      <c r="J226" s="214">
        <v>2.8564720257024967</v>
      </c>
      <c r="K226" s="214">
        <v>7.7916177539807663</v>
      </c>
      <c r="L226" s="214">
        <v>5.1158322750423393</v>
      </c>
      <c r="M226" s="214">
        <v>1.3489805893533571</v>
      </c>
      <c r="N226" s="214">
        <v>6.4648128643956966</v>
      </c>
      <c r="O226" s="19"/>
      <c r="P226" s="226">
        <f t="shared" si="25"/>
        <v>4.9181208239242409</v>
      </c>
      <c r="Q226" s="226">
        <f t="shared" si="26"/>
        <v>6.8965694293318052</v>
      </c>
      <c r="R226" s="144"/>
    </row>
    <row r="227" spans="2:18">
      <c r="B227" s="142">
        <f t="shared" si="22"/>
        <v>2040</v>
      </c>
      <c r="C227" s="19">
        <f t="shared" si="23"/>
        <v>4</v>
      </c>
      <c r="D227" s="143">
        <v>51227</v>
      </c>
      <c r="E227" s="19" t="str">
        <f t="shared" si="24"/>
        <v>4-2040</v>
      </c>
      <c r="F227" s="214">
        <v>4.6232531894360012</v>
      </c>
      <c r="G227" s="214">
        <v>1.7298932011668384</v>
      </c>
      <c r="H227" s="214">
        <v>6.3531463906028396</v>
      </c>
      <c r="I227" s="214">
        <v>4.851002750301749</v>
      </c>
      <c r="J227" s="214">
        <v>2.8564720257024967</v>
      </c>
      <c r="K227" s="214">
        <v>7.7074747760042452</v>
      </c>
      <c r="L227" s="214">
        <v>5.0286102006259323</v>
      </c>
      <c r="M227" s="214">
        <v>1.3489805893533571</v>
      </c>
      <c r="N227" s="214">
        <v>6.3775907899792896</v>
      </c>
      <c r="O227" s="19"/>
      <c r="P227" s="226">
        <f t="shared" si="25"/>
        <v>4.8342887134545611</v>
      </c>
      <c r="Q227" s="226">
        <f t="shared" si="26"/>
        <v>6.8127373188621254</v>
      </c>
      <c r="R227" s="144"/>
    </row>
    <row r="228" spans="2:18">
      <c r="B228" s="142">
        <f t="shared" si="22"/>
        <v>2040</v>
      </c>
      <c r="C228" s="19">
        <f t="shared" si="23"/>
        <v>5</v>
      </c>
      <c r="D228" s="143">
        <v>51257</v>
      </c>
      <c r="E228" s="19" t="str">
        <f t="shared" si="24"/>
        <v>5-2040</v>
      </c>
      <c r="F228" s="214">
        <v>4.7840514457564343</v>
      </c>
      <c r="G228" s="214">
        <v>1.7298932011668384</v>
      </c>
      <c r="H228" s="214">
        <v>6.5139446469232727</v>
      </c>
      <c r="I228" s="214">
        <v>5.0196568081856565</v>
      </c>
      <c r="J228" s="214">
        <v>2.8564720257024967</v>
      </c>
      <c r="K228" s="214">
        <v>7.8761288338881528</v>
      </c>
      <c r="L228" s="214">
        <v>5.2034407268687222</v>
      </c>
      <c r="M228" s="214">
        <v>1.3489805893533571</v>
      </c>
      <c r="N228" s="214">
        <v>6.5524213162220795</v>
      </c>
      <c r="O228" s="19"/>
      <c r="P228" s="226">
        <f t="shared" si="25"/>
        <v>5.0023829936036046</v>
      </c>
      <c r="Q228" s="226">
        <f t="shared" si="26"/>
        <v>6.980831599011168</v>
      </c>
      <c r="R228" s="144"/>
    </row>
    <row r="229" spans="2:18">
      <c r="B229" s="142">
        <f t="shared" si="22"/>
        <v>2040</v>
      </c>
      <c r="C229" s="19">
        <f t="shared" si="23"/>
        <v>6</v>
      </c>
      <c r="D229" s="143">
        <v>51288</v>
      </c>
      <c r="E229" s="19" t="str">
        <f t="shared" si="24"/>
        <v>6-2040</v>
      </c>
      <c r="F229" s="214">
        <v>4.9076223905228931</v>
      </c>
      <c r="G229" s="214">
        <v>1.7298932011668384</v>
      </c>
      <c r="H229" s="214">
        <v>6.6375155916897315</v>
      </c>
      <c r="I229" s="214">
        <v>5.1492462846729898</v>
      </c>
      <c r="J229" s="214">
        <v>2.8564720257024967</v>
      </c>
      <c r="K229" s="214">
        <v>8.005718310375487</v>
      </c>
      <c r="L229" s="214">
        <v>5.3377765026092945</v>
      </c>
      <c r="M229" s="214">
        <v>1.3489805893533571</v>
      </c>
      <c r="N229" s="214">
        <v>6.6867570919626518</v>
      </c>
      <c r="O229" s="19"/>
      <c r="P229" s="226">
        <f t="shared" si="25"/>
        <v>5.1315483926017258</v>
      </c>
      <c r="Q229" s="226">
        <f t="shared" si="26"/>
        <v>7.1099969980092901</v>
      </c>
      <c r="R229" s="144"/>
    </row>
    <row r="230" spans="2:18">
      <c r="B230" s="142">
        <f t="shared" si="22"/>
        <v>2040</v>
      </c>
      <c r="C230" s="19">
        <f t="shared" si="23"/>
        <v>7</v>
      </c>
      <c r="D230" s="143">
        <v>51318</v>
      </c>
      <c r="E230" s="19" t="str">
        <f t="shared" si="24"/>
        <v>7-2040</v>
      </c>
      <c r="F230" s="214">
        <v>4.9464494383567681</v>
      </c>
      <c r="G230" s="214">
        <v>1.7298932011668384</v>
      </c>
      <c r="H230" s="214">
        <v>6.6763426395236065</v>
      </c>
      <c r="I230" s="214">
        <v>5.1899173194368373</v>
      </c>
      <c r="J230" s="214">
        <v>2.8564720257024967</v>
      </c>
      <c r="K230" s="214">
        <v>8.0463893451393336</v>
      </c>
      <c r="L230" s="214">
        <v>5.3799383059416765</v>
      </c>
      <c r="M230" s="214">
        <v>1.3489805893533571</v>
      </c>
      <c r="N230" s="214">
        <v>6.7289188952950338</v>
      </c>
      <c r="O230" s="19"/>
      <c r="P230" s="226">
        <f t="shared" si="25"/>
        <v>5.1721016879117609</v>
      </c>
      <c r="Q230" s="226">
        <f t="shared" si="26"/>
        <v>7.1505502933193243</v>
      </c>
      <c r="R230" s="144"/>
    </row>
    <row r="231" spans="2:18">
      <c r="B231" s="142">
        <f t="shared" si="22"/>
        <v>2040</v>
      </c>
      <c r="C231" s="19">
        <f t="shared" si="23"/>
        <v>8</v>
      </c>
      <c r="D231" s="143">
        <v>51349</v>
      </c>
      <c r="E231" s="19" t="str">
        <f t="shared" si="24"/>
        <v>8-2040</v>
      </c>
      <c r="F231" s="214">
        <v>4.9081362594168931</v>
      </c>
      <c r="G231" s="214">
        <v>1.7298932011668384</v>
      </c>
      <c r="H231" s="214">
        <v>6.6380294605837316</v>
      </c>
      <c r="I231" s="214">
        <v>5.1496512131566279</v>
      </c>
      <c r="J231" s="214">
        <v>2.8564720257024967</v>
      </c>
      <c r="K231" s="214">
        <v>8.006123238859125</v>
      </c>
      <c r="L231" s="214">
        <v>5.3381995774005215</v>
      </c>
      <c r="M231" s="214">
        <v>1.3489805893533571</v>
      </c>
      <c r="N231" s="214">
        <v>6.6871801667538788</v>
      </c>
      <c r="O231" s="19"/>
      <c r="P231" s="226">
        <f t="shared" si="25"/>
        <v>5.1319956833246811</v>
      </c>
      <c r="Q231" s="226">
        <f t="shared" si="26"/>
        <v>7.1104442887322454</v>
      </c>
      <c r="R231" s="144"/>
    </row>
    <row r="232" spans="2:18">
      <c r="B232" s="142">
        <f t="shared" si="22"/>
        <v>2040</v>
      </c>
      <c r="C232" s="19">
        <f t="shared" si="23"/>
        <v>9</v>
      </c>
      <c r="D232" s="143">
        <v>51380</v>
      </c>
      <c r="E232" s="19" t="str">
        <f t="shared" si="24"/>
        <v>9-2040</v>
      </c>
      <c r="F232" s="214">
        <v>4.977065647453407</v>
      </c>
      <c r="G232" s="214">
        <v>1.7298932011668384</v>
      </c>
      <c r="H232" s="214">
        <v>6.7069588486202454</v>
      </c>
      <c r="I232" s="214">
        <v>5.221904337890666</v>
      </c>
      <c r="J232" s="214">
        <v>2.8564720257024967</v>
      </c>
      <c r="K232" s="214">
        <v>8.0783763635931631</v>
      </c>
      <c r="L232" s="214">
        <v>5.4130998484782022</v>
      </c>
      <c r="M232" s="214">
        <v>1.3489805893533571</v>
      </c>
      <c r="N232" s="214">
        <v>6.7620804378315595</v>
      </c>
      <c r="O232" s="19"/>
      <c r="P232" s="226">
        <f t="shared" si="25"/>
        <v>5.2040232779407587</v>
      </c>
      <c r="Q232" s="226">
        <f t="shared" si="26"/>
        <v>7.182471883348323</v>
      </c>
      <c r="R232" s="144"/>
    </row>
    <row r="233" spans="2:18">
      <c r="B233" s="142">
        <f t="shared" si="22"/>
        <v>2040</v>
      </c>
      <c r="C233" s="19">
        <f t="shared" si="23"/>
        <v>10</v>
      </c>
      <c r="D233" s="143">
        <v>51410</v>
      </c>
      <c r="E233" s="19" t="str">
        <f t="shared" si="24"/>
        <v>10-2040</v>
      </c>
      <c r="F233" s="214">
        <v>4.9482780497380165</v>
      </c>
      <c r="G233" s="214">
        <v>1.7298932011668384</v>
      </c>
      <c r="H233" s="214">
        <v>6.678171250904855</v>
      </c>
      <c r="I233" s="214">
        <v>5.191632890240041</v>
      </c>
      <c r="J233" s="214">
        <v>2.8564720257024967</v>
      </c>
      <c r="K233" s="214">
        <v>8.0481049159425382</v>
      </c>
      <c r="L233" s="214">
        <v>5.3817217124277432</v>
      </c>
      <c r="M233" s="214">
        <v>1.3489805893533571</v>
      </c>
      <c r="N233" s="214">
        <v>6.7307023017811005</v>
      </c>
      <c r="O233" s="19"/>
      <c r="P233" s="226">
        <f t="shared" si="25"/>
        <v>5.1738775508019339</v>
      </c>
      <c r="Q233" s="226">
        <f t="shared" si="26"/>
        <v>7.1523261562094973</v>
      </c>
      <c r="R233" s="144"/>
    </row>
    <row r="234" spans="2:18">
      <c r="B234" s="142">
        <f t="shared" si="22"/>
        <v>2040</v>
      </c>
      <c r="C234" s="19">
        <f t="shared" si="23"/>
        <v>11</v>
      </c>
      <c r="D234" s="143">
        <v>51441</v>
      </c>
      <c r="E234" s="19" t="str">
        <f t="shared" si="24"/>
        <v>11-2040</v>
      </c>
      <c r="F234" s="214">
        <v>5.1927432818408619</v>
      </c>
      <c r="G234" s="214">
        <v>1.7298932011668384</v>
      </c>
      <c r="H234" s="214">
        <v>6.9226364830077003</v>
      </c>
      <c r="I234" s="214">
        <v>5.4480498057710838</v>
      </c>
      <c r="J234" s="214">
        <v>2.8564720257024967</v>
      </c>
      <c r="K234" s="214">
        <v>8.3045218314735809</v>
      </c>
      <c r="L234" s="214">
        <v>5.6475289516772555</v>
      </c>
      <c r="M234" s="214">
        <v>1.3489805893533571</v>
      </c>
      <c r="N234" s="214">
        <v>6.9965095410306128</v>
      </c>
      <c r="O234" s="19"/>
      <c r="P234" s="226">
        <f t="shared" si="25"/>
        <v>5.4294406797630677</v>
      </c>
      <c r="Q234" s="226">
        <f t="shared" si="26"/>
        <v>7.4078892851706319</v>
      </c>
      <c r="R234" s="144"/>
    </row>
    <row r="235" spans="2:18">
      <c r="B235" s="142">
        <f t="shared" si="22"/>
        <v>2040</v>
      </c>
      <c r="C235" s="19">
        <f t="shared" si="23"/>
        <v>12</v>
      </c>
      <c r="D235" s="143">
        <v>51471</v>
      </c>
      <c r="E235" s="19" t="str">
        <f t="shared" si="24"/>
        <v>12-2040</v>
      </c>
      <c r="F235" s="214">
        <v>5.2343975293826599</v>
      </c>
      <c r="G235" s="214">
        <v>1.7298932011668384</v>
      </c>
      <c r="H235" s="214">
        <v>6.9642907305494983</v>
      </c>
      <c r="I235" s="214">
        <v>5.4916804040654545</v>
      </c>
      <c r="J235" s="214">
        <v>2.8564720257024967</v>
      </c>
      <c r="K235" s="214">
        <v>8.3481524297679517</v>
      </c>
      <c r="L235" s="214">
        <v>5.6927588465258525</v>
      </c>
      <c r="M235" s="214">
        <v>1.3489805893533571</v>
      </c>
      <c r="N235" s="214">
        <v>7.0417394358792098</v>
      </c>
      <c r="O235" s="19"/>
      <c r="P235" s="226">
        <f t="shared" si="25"/>
        <v>5.4729455933246554</v>
      </c>
      <c r="Q235" s="226">
        <f t="shared" si="26"/>
        <v>7.4513941987322196</v>
      </c>
      <c r="R235" s="144"/>
    </row>
    <row r="236" spans="2:18">
      <c r="B236" s="142">
        <f t="shared" si="22"/>
        <v>2041</v>
      </c>
      <c r="C236" s="19">
        <f t="shared" si="23"/>
        <v>1</v>
      </c>
      <c r="D236" s="143">
        <v>51502</v>
      </c>
      <c r="E236" s="19" t="str">
        <f t="shared" si="24"/>
        <v>1-2041</v>
      </c>
      <c r="F236" s="214">
        <v>5.2346170297281276</v>
      </c>
      <c r="G236" s="214">
        <v>1.7990889292135124</v>
      </c>
      <c r="H236" s="214">
        <v>7.0337059589416402</v>
      </c>
      <c r="I236" s="214">
        <v>5.4918432815001577</v>
      </c>
      <c r="J236" s="214">
        <v>2.9707309067305956</v>
      </c>
      <c r="K236" s="214">
        <v>8.4625741882307537</v>
      </c>
      <c r="L236" s="214">
        <v>5.6929302541873943</v>
      </c>
      <c r="M236" s="214">
        <v>1.4029398129274913</v>
      </c>
      <c r="N236" s="214">
        <v>7.0958700671148858</v>
      </c>
      <c r="O236" s="19"/>
      <c r="P236" s="226">
        <f t="shared" si="25"/>
        <v>5.4731301884718926</v>
      </c>
      <c r="Q236" s="226">
        <f t="shared" si="26"/>
        <v>7.5307167380957596</v>
      </c>
      <c r="R236" s="144"/>
    </row>
    <row r="237" spans="2:18">
      <c r="B237" s="142">
        <f t="shared" si="22"/>
        <v>2041</v>
      </c>
      <c r="C237" s="19">
        <f t="shared" si="23"/>
        <v>2</v>
      </c>
      <c r="D237" s="143">
        <v>51533</v>
      </c>
      <c r="E237" s="19" t="str">
        <f t="shared" si="24"/>
        <v>2-2041</v>
      </c>
      <c r="F237" s="214">
        <v>5.1197634480880794</v>
      </c>
      <c r="G237" s="214">
        <v>1.7990889292135124</v>
      </c>
      <c r="H237" s="214">
        <v>6.918852377301592</v>
      </c>
      <c r="I237" s="214">
        <v>5.3712799164932594</v>
      </c>
      <c r="J237" s="214">
        <v>2.9707309067305956</v>
      </c>
      <c r="K237" s="214">
        <v>8.3420108232238555</v>
      </c>
      <c r="L237" s="214">
        <v>5.5679549033013931</v>
      </c>
      <c r="M237" s="214">
        <v>1.4029398129274913</v>
      </c>
      <c r="N237" s="214">
        <v>6.9708947162288846</v>
      </c>
      <c r="O237" s="19"/>
      <c r="P237" s="226">
        <f t="shared" si="25"/>
        <v>5.352999422627577</v>
      </c>
      <c r="Q237" s="226">
        <f t="shared" si="26"/>
        <v>7.410585972251444</v>
      </c>
      <c r="R237" s="144"/>
    </row>
    <row r="238" spans="2:18">
      <c r="B238" s="142">
        <f t="shared" si="22"/>
        <v>2041</v>
      </c>
      <c r="C238" s="19">
        <f t="shared" si="23"/>
        <v>3</v>
      </c>
      <c r="D238" s="143">
        <v>51561</v>
      </c>
      <c r="E238" s="19" t="str">
        <f t="shared" si="24"/>
        <v>3-2041</v>
      </c>
      <c r="F238" s="214">
        <v>4.699878717107314</v>
      </c>
      <c r="G238" s="214">
        <v>1.7990889292135124</v>
      </c>
      <c r="H238" s="214">
        <v>6.4989676463208266</v>
      </c>
      <c r="I238" s="214">
        <v>4.9307071451666449</v>
      </c>
      <c r="J238" s="214">
        <v>2.9707309067305956</v>
      </c>
      <c r="K238" s="214">
        <v>7.9014380518972409</v>
      </c>
      <c r="L238" s="214">
        <v>5.111252407732783</v>
      </c>
      <c r="M238" s="214">
        <v>1.4029398129274913</v>
      </c>
      <c r="N238" s="214">
        <v>6.5141922206602745</v>
      </c>
      <c r="O238" s="19"/>
      <c r="P238" s="226">
        <f t="shared" si="25"/>
        <v>4.9139460900022476</v>
      </c>
      <c r="Q238" s="226">
        <f t="shared" si="26"/>
        <v>6.9715326396261146</v>
      </c>
      <c r="R238" s="144"/>
    </row>
    <row r="239" spans="2:18">
      <c r="B239" s="142">
        <f t="shared" si="22"/>
        <v>2041</v>
      </c>
      <c r="C239" s="19">
        <f t="shared" si="23"/>
        <v>4</v>
      </c>
      <c r="D239" s="143">
        <v>51592</v>
      </c>
      <c r="E239" s="19" t="str">
        <f t="shared" si="24"/>
        <v>4-2041</v>
      </c>
      <c r="F239" s="214">
        <v>4.619831678256066</v>
      </c>
      <c r="G239" s="214">
        <v>1.7990889292135124</v>
      </c>
      <c r="H239" s="214">
        <v>6.4189206074695786</v>
      </c>
      <c r="I239" s="214">
        <v>4.8466691847897962</v>
      </c>
      <c r="J239" s="214">
        <v>2.9707309067305956</v>
      </c>
      <c r="K239" s="214">
        <v>7.8174000915203923</v>
      </c>
      <c r="L239" s="214">
        <v>5.0241395368708837</v>
      </c>
      <c r="M239" s="214">
        <v>1.4029398129274913</v>
      </c>
      <c r="N239" s="214">
        <v>6.4270793497983751</v>
      </c>
      <c r="O239" s="19"/>
      <c r="P239" s="226">
        <f t="shared" si="25"/>
        <v>4.8302134666389156</v>
      </c>
      <c r="Q239" s="226">
        <f t="shared" si="26"/>
        <v>6.8878000162627826</v>
      </c>
      <c r="R239" s="144"/>
    </row>
    <row r="240" spans="2:18">
      <c r="B240" s="142">
        <f t="shared" si="22"/>
        <v>2041</v>
      </c>
      <c r="C240" s="19">
        <f t="shared" si="23"/>
        <v>5</v>
      </c>
      <c r="D240" s="143">
        <v>51622</v>
      </c>
      <c r="E240" s="19" t="str">
        <f t="shared" si="24"/>
        <v>5-2041</v>
      </c>
      <c r="F240" s="214">
        <v>4.7805363019750491</v>
      </c>
      <c r="G240" s="214">
        <v>1.7990889292135124</v>
      </c>
      <c r="H240" s="214">
        <v>6.5796252311885617</v>
      </c>
      <c r="I240" s="214">
        <v>5.0152029438983163</v>
      </c>
      <c r="J240" s="214">
        <v>2.9707309067305956</v>
      </c>
      <c r="K240" s="214">
        <v>7.9859338506289124</v>
      </c>
      <c r="L240" s="214">
        <v>5.1988468370255383</v>
      </c>
      <c r="M240" s="214">
        <v>1.4029398129274913</v>
      </c>
      <c r="N240" s="214">
        <v>6.6017866499530298</v>
      </c>
      <c r="O240" s="19"/>
      <c r="P240" s="226">
        <f t="shared" si="25"/>
        <v>4.9981953609663012</v>
      </c>
      <c r="Q240" s="226">
        <f t="shared" si="26"/>
        <v>7.0557819105901673</v>
      </c>
      <c r="R240" s="144"/>
    </row>
    <row r="241" spans="2:18">
      <c r="B241" s="142">
        <f t="shared" si="22"/>
        <v>2041</v>
      </c>
      <c r="C241" s="19">
        <f t="shared" si="23"/>
        <v>6</v>
      </c>
      <c r="D241" s="143">
        <v>51653</v>
      </c>
      <c r="E241" s="19" t="str">
        <f t="shared" si="24"/>
        <v>6-2041</v>
      </c>
      <c r="F241" s="214">
        <v>4.9040424786342047</v>
      </c>
      <c r="G241" s="214">
        <v>1.7990889292135124</v>
      </c>
      <c r="H241" s="214">
        <v>6.7031314078477173</v>
      </c>
      <c r="I241" s="214">
        <v>5.144708591955383</v>
      </c>
      <c r="J241" s="214">
        <v>2.9707309067305956</v>
      </c>
      <c r="K241" s="214">
        <v>8.1154394986859781</v>
      </c>
      <c r="L241" s="214">
        <v>5.3330970563095317</v>
      </c>
      <c r="M241" s="214">
        <v>1.4029398129274913</v>
      </c>
      <c r="N241" s="214">
        <v>6.7360368692370232</v>
      </c>
      <c r="O241" s="19"/>
      <c r="P241" s="226">
        <f t="shared" si="25"/>
        <v>5.1272827089663737</v>
      </c>
      <c r="Q241" s="226">
        <f t="shared" si="26"/>
        <v>7.1848692585902398</v>
      </c>
      <c r="R241" s="144"/>
    </row>
    <row r="242" spans="2:18">
      <c r="B242" s="142">
        <f t="shared" si="22"/>
        <v>2041</v>
      </c>
      <c r="C242" s="19">
        <f t="shared" si="23"/>
        <v>7</v>
      </c>
      <c r="D242" s="143">
        <v>51683</v>
      </c>
      <c r="E242" s="19" t="str">
        <f t="shared" si="24"/>
        <v>7-2041</v>
      </c>
      <c r="F242" s="214">
        <v>4.9428674402001533</v>
      </c>
      <c r="G242" s="214">
        <v>1.7990889292135124</v>
      </c>
      <c r="H242" s="214">
        <v>6.7419563694136659</v>
      </c>
      <c r="I242" s="214">
        <v>5.1853751912004427</v>
      </c>
      <c r="J242" s="214">
        <v>2.9707309067305956</v>
      </c>
      <c r="K242" s="214">
        <v>8.1561060979310387</v>
      </c>
      <c r="L242" s="214">
        <v>5.3752552066148382</v>
      </c>
      <c r="M242" s="214">
        <v>1.4029398129274913</v>
      </c>
      <c r="N242" s="214">
        <v>6.7781950195423297</v>
      </c>
      <c r="O242" s="19"/>
      <c r="P242" s="226">
        <f t="shared" si="25"/>
        <v>5.1678326126718117</v>
      </c>
      <c r="Q242" s="226">
        <f t="shared" si="26"/>
        <v>7.2254191622956787</v>
      </c>
      <c r="R242" s="144"/>
    </row>
    <row r="243" spans="2:18">
      <c r="B243" s="142">
        <f t="shared" si="22"/>
        <v>2041</v>
      </c>
      <c r="C243" s="19">
        <f t="shared" si="23"/>
        <v>8</v>
      </c>
      <c r="D243" s="143">
        <v>51714</v>
      </c>
      <c r="E243" s="19" t="str">
        <f t="shared" si="24"/>
        <v>8-2041</v>
      </c>
      <c r="F243" s="214">
        <v>4.9046080425358038</v>
      </c>
      <c r="G243" s="214">
        <v>1.7990889292135124</v>
      </c>
      <c r="H243" s="214">
        <v>6.7036969717493164</v>
      </c>
      <c r="I243" s="214">
        <v>5.1451754914427044</v>
      </c>
      <c r="J243" s="214">
        <v>2.9707309067305956</v>
      </c>
      <c r="K243" s="214">
        <v>8.1159063981732995</v>
      </c>
      <c r="L243" s="214">
        <v>5.3335858659795559</v>
      </c>
      <c r="M243" s="214">
        <v>1.4029398129274913</v>
      </c>
      <c r="N243" s="214">
        <v>6.7365256789070473</v>
      </c>
      <c r="O243" s="19"/>
      <c r="P243" s="226">
        <f t="shared" si="25"/>
        <v>5.1277897999860214</v>
      </c>
      <c r="Q243" s="226">
        <f t="shared" si="26"/>
        <v>7.1853763496098884</v>
      </c>
      <c r="R243" s="144"/>
    </row>
    <row r="244" spans="2:18">
      <c r="B244" s="142">
        <f t="shared" si="22"/>
        <v>2041</v>
      </c>
      <c r="C244" s="19">
        <f t="shared" si="23"/>
        <v>9</v>
      </c>
      <c r="D244" s="143">
        <v>51745</v>
      </c>
      <c r="E244" s="19" t="str">
        <f t="shared" si="24"/>
        <v>9-2041</v>
      </c>
      <c r="F244" s="214">
        <v>4.9735142862241766</v>
      </c>
      <c r="G244" s="214">
        <v>1.7990889292135124</v>
      </c>
      <c r="H244" s="214">
        <v>6.7726032154376892</v>
      </c>
      <c r="I244" s="214">
        <v>5.2173974271683718</v>
      </c>
      <c r="J244" s="214">
        <v>2.9707309067305956</v>
      </c>
      <c r="K244" s="214">
        <v>8.1881283338989679</v>
      </c>
      <c r="L244" s="214">
        <v>5.4084549263926025</v>
      </c>
      <c r="M244" s="214">
        <v>1.4029398129274913</v>
      </c>
      <c r="N244" s="214">
        <v>6.811394739320094</v>
      </c>
      <c r="O244" s="19"/>
      <c r="P244" s="226">
        <f t="shared" si="25"/>
        <v>5.1997888799283833</v>
      </c>
      <c r="Q244" s="226">
        <f t="shared" si="26"/>
        <v>7.2573754295522503</v>
      </c>
      <c r="R244" s="144"/>
    </row>
    <row r="245" spans="2:18">
      <c r="B245" s="142">
        <f t="shared" si="22"/>
        <v>2041</v>
      </c>
      <c r="C245" s="19">
        <f t="shared" si="23"/>
        <v>10</v>
      </c>
      <c r="D245" s="143">
        <v>51775</v>
      </c>
      <c r="E245" s="19" t="str">
        <f t="shared" si="24"/>
        <v>10-2041</v>
      </c>
      <c r="F245" s="214">
        <v>4.944773485948744</v>
      </c>
      <c r="G245" s="214">
        <v>1.7990889292135124</v>
      </c>
      <c r="H245" s="214">
        <v>6.7438624151622566</v>
      </c>
      <c r="I245" s="214">
        <v>5.1871835361379084</v>
      </c>
      <c r="J245" s="214">
        <v>2.9707309067305956</v>
      </c>
      <c r="K245" s="214">
        <v>8.1579144428685044</v>
      </c>
      <c r="L245" s="214">
        <v>5.3771370506428671</v>
      </c>
      <c r="M245" s="214">
        <v>1.4029398129274913</v>
      </c>
      <c r="N245" s="214">
        <v>6.7800768635703585</v>
      </c>
      <c r="O245" s="19"/>
      <c r="P245" s="226">
        <f t="shared" si="25"/>
        <v>5.1696980242431732</v>
      </c>
      <c r="Q245" s="226">
        <f t="shared" si="26"/>
        <v>7.2272845738670393</v>
      </c>
      <c r="R245" s="144"/>
    </row>
    <row r="246" spans="2:18">
      <c r="B246" s="142">
        <f t="shared" si="22"/>
        <v>2041</v>
      </c>
      <c r="C246" s="19">
        <f t="shared" si="23"/>
        <v>11</v>
      </c>
      <c r="D246" s="143">
        <v>51806</v>
      </c>
      <c r="E246" s="19" t="str">
        <f t="shared" si="24"/>
        <v>11-2041</v>
      </c>
      <c r="F246" s="214">
        <v>5.1890931350756366</v>
      </c>
      <c r="G246" s="214">
        <v>1.7990889292135124</v>
      </c>
      <c r="H246" s="214">
        <v>6.9881820642891492</v>
      </c>
      <c r="I246" s="214">
        <v>5.4434136836011717</v>
      </c>
      <c r="J246" s="214">
        <v>2.9707309067305956</v>
      </c>
      <c r="K246" s="214">
        <v>8.4141445903317678</v>
      </c>
      <c r="L246" s="214">
        <v>5.6427528368752204</v>
      </c>
      <c r="M246" s="214">
        <v>1.4029398129274913</v>
      </c>
      <c r="N246" s="214">
        <v>7.0456926498027119</v>
      </c>
      <c r="O246" s="19"/>
      <c r="P246" s="226">
        <f t="shared" si="25"/>
        <v>5.4250865518506766</v>
      </c>
      <c r="Q246" s="226">
        <f t="shared" si="26"/>
        <v>7.4826731014745436</v>
      </c>
      <c r="R246" s="144"/>
    </row>
    <row r="247" spans="2:18">
      <c r="B247" s="142">
        <f t="shared" si="22"/>
        <v>2041</v>
      </c>
      <c r="C247" s="19">
        <f t="shared" si="23"/>
        <v>12</v>
      </c>
      <c r="D247" s="143">
        <v>51836</v>
      </c>
      <c r="E247" s="19" t="str">
        <f t="shared" si="24"/>
        <v>12-2041</v>
      </c>
      <c r="F247" s="214">
        <v>5.2307458839309486</v>
      </c>
      <c r="G247" s="214">
        <v>1.7990889292135124</v>
      </c>
      <c r="H247" s="214">
        <v>7.0298348131444612</v>
      </c>
      <c r="I247" s="214">
        <v>5.4870404102604624</v>
      </c>
      <c r="J247" s="214">
        <v>2.9707309067305956</v>
      </c>
      <c r="K247" s="214">
        <v>8.4577713169910584</v>
      </c>
      <c r="L247" s="214">
        <v>5.6879797532229111</v>
      </c>
      <c r="M247" s="214">
        <v>1.4029398129274913</v>
      </c>
      <c r="N247" s="214">
        <v>7.0909195661504025</v>
      </c>
      <c r="O247" s="19"/>
      <c r="P247" s="226">
        <f t="shared" si="25"/>
        <v>5.4685886824714407</v>
      </c>
      <c r="Q247" s="226">
        <f t="shared" si="26"/>
        <v>7.5261752320953077</v>
      </c>
      <c r="R247" s="144"/>
    </row>
    <row r="248" spans="2:18">
      <c r="B248" s="142">
        <f t="shared" ref="B248:B311" si="27">YEAR(D248)</f>
        <v>2042</v>
      </c>
      <c r="C248" s="19">
        <f t="shared" ref="C248:C311" si="28">MONTH(D248)</f>
        <v>1</v>
      </c>
      <c r="D248" s="143">
        <v>51867</v>
      </c>
      <c r="E248" s="19" t="str">
        <f t="shared" si="24"/>
        <v>1-2042</v>
      </c>
      <c r="F248" s="214">
        <v>5.2309743601469689</v>
      </c>
      <c r="G248" s="214">
        <v>1.8710524863820528</v>
      </c>
      <c r="H248" s="214">
        <v>7.1020268465290215</v>
      </c>
      <c r="I248" s="214">
        <v>5.4872150943795424</v>
      </c>
      <c r="J248" s="214">
        <v>3.0895601429998201</v>
      </c>
      <c r="K248" s="214">
        <v>8.576775237379362</v>
      </c>
      <c r="L248" s="214">
        <v>5.6881632225517107</v>
      </c>
      <c r="M248" s="214">
        <v>1.4590574054445911</v>
      </c>
      <c r="N248" s="214">
        <v>7.147220627996302</v>
      </c>
      <c r="O248" s="19"/>
      <c r="P248" s="226">
        <f t="shared" si="25"/>
        <v>5.4687842256927404</v>
      </c>
      <c r="Q248" s="226">
        <f t="shared" si="26"/>
        <v>7.6086742373015612</v>
      </c>
      <c r="R248" s="144"/>
    </row>
    <row r="249" spans="2:18">
      <c r="B249" s="142">
        <f t="shared" si="27"/>
        <v>2042</v>
      </c>
      <c r="C249" s="19">
        <f t="shared" si="28"/>
        <v>2</v>
      </c>
      <c r="D249" s="143">
        <v>51898</v>
      </c>
      <c r="E249" s="19" t="str">
        <f t="shared" si="24"/>
        <v>2-2042</v>
      </c>
      <c r="F249" s="214">
        <v>5.1162096326481201</v>
      </c>
      <c r="G249" s="214">
        <v>1.8710524863820528</v>
      </c>
      <c r="H249" s="214">
        <v>6.9872621190301727</v>
      </c>
      <c r="I249" s="214">
        <v>5.3667650164794853</v>
      </c>
      <c r="J249" s="214">
        <v>3.0895601429998201</v>
      </c>
      <c r="K249" s="214">
        <v>8.4563251594793059</v>
      </c>
      <c r="L249" s="214">
        <v>5.5633044603055533</v>
      </c>
      <c r="M249" s="214">
        <v>1.4590574054445911</v>
      </c>
      <c r="N249" s="214">
        <v>7.0223618657501445</v>
      </c>
      <c r="O249" s="19"/>
      <c r="P249" s="226">
        <f t="shared" si="25"/>
        <v>5.3487597031443856</v>
      </c>
      <c r="Q249" s="226">
        <f t="shared" si="26"/>
        <v>7.4886497147532083</v>
      </c>
      <c r="R249" s="144"/>
    </row>
    <row r="250" spans="2:18">
      <c r="B250" s="142">
        <f t="shared" si="27"/>
        <v>2042</v>
      </c>
      <c r="C250" s="19">
        <f t="shared" si="28"/>
        <v>3</v>
      </c>
      <c r="D250" s="143">
        <v>51926</v>
      </c>
      <c r="E250" s="19" t="str">
        <f t="shared" si="24"/>
        <v>3-2042</v>
      </c>
      <c r="F250" s="214">
        <v>4.6966245573870475</v>
      </c>
      <c r="G250" s="214">
        <v>1.8710524863820528</v>
      </c>
      <c r="H250" s="214">
        <v>6.5676770437691001</v>
      </c>
      <c r="I250" s="214">
        <v>4.9265733012915742</v>
      </c>
      <c r="J250" s="214">
        <v>3.0895601429998201</v>
      </c>
      <c r="K250" s="214">
        <v>8.0161334442913947</v>
      </c>
      <c r="L250" s="214">
        <v>5.1069943713248618</v>
      </c>
      <c r="M250" s="214">
        <v>1.4590574054445911</v>
      </c>
      <c r="N250" s="214">
        <v>6.5660517767694531</v>
      </c>
      <c r="O250" s="19"/>
      <c r="P250" s="226">
        <f t="shared" si="25"/>
        <v>4.9100640766678287</v>
      </c>
      <c r="Q250" s="226">
        <f t="shared" si="26"/>
        <v>7.0499540882766496</v>
      </c>
      <c r="R250" s="144"/>
    </row>
    <row r="251" spans="2:18">
      <c r="B251" s="142">
        <f t="shared" si="27"/>
        <v>2042</v>
      </c>
      <c r="C251" s="19">
        <f t="shared" si="28"/>
        <v>4</v>
      </c>
      <c r="D251" s="143">
        <v>51957</v>
      </c>
      <c r="E251" s="19" t="str">
        <f t="shared" si="24"/>
        <v>4-2042</v>
      </c>
      <c r="F251" s="214">
        <v>4.6166410021323916</v>
      </c>
      <c r="G251" s="214">
        <v>1.8710524863820528</v>
      </c>
      <c r="H251" s="214">
        <v>6.4876934885144442</v>
      </c>
      <c r="I251" s="214">
        <v>4.8426163428576059</v>
      </c>
      <c r="J251" s="214">
        <v>3.0895601429998201</v>
      </c>
      <c r="K251" s="214">
        <v>7.9321764858574255</v>
      </c>
      <c r="L251" s="214">
        <v>5.0199648478832426</v>
      </c>
      <c r="M251" s="214">
        <v>1.4590574054445911</v>
      </c>
      <c r="N251" s="214">
        <v>6.4790222533278339</v>
      </c>
      <c r="O251" s="19"/>
      <c r="P251" s="226">
        <f t="shared" si="25"/>
        <v>4.8264073976244131</v>
      </c>
      <c r="Q251" s="226">
        <f t="shared" si="26"/>
        <v>6.9662974092332348</v>
      </c>
      <c r="R251" s="144"/>
    </row>
    <row r="252" spans="2:18">
      <c r="B252" s="142">
        <f t="shared" si="27"/>
        <v>2042</v>
      </c>
      <c r="C252" s="19">
        <f t="shared" si="28"/>
        <v>5</v>
      </c>
      <c r="D252" s="143">
        <v>51987</v>
      </c>
      <c r="E252" s="19" t="str">
        <f t="shared" si="24"/>
        <v>5-2042</v>
      </c>
      <c r="F252" s="214">
        <v>4.7772429765491324</v>
      </c>
      <c r="G252" s="214">
        <v>1.8710524863820528</v>
      </c>
      <c r="H252" s="214">
        <v>6.648295462931185</v>
      </c>
      <c r="I252" s="214">
        <v>5.0110200858446126</v>
      </c>
      <c r="J252" s="214">
        <v>3.0895601429998201</v>
      </c>
      <c r="K252" s="214">
        <v>8.1005802288444322</v>
      </c>
      <c r="L252" s="214">
        <v>5.1945381316689563</v>
      </c>
      <c r="M252" s="214">
        <v>1.4590574054445911</v>
      </c>
      <c r="N252" s="214">
        <v>6.6535955371135476</v>
      </c>
      <c r="O252" s="19"/>
      <c r="P252" s="226">
        <f t="shared" si="25"/>
        <v>4.9942670646875671</v>
      </c>
      <c r="Q252" s="226">
        <f t="shared" si="26"/>
        <v>7.1341570762963871</v>
      </c>
      <c r="R252" s="144"/>
    </row>
    <row r="253" spans="2:18">
      <c r="B253" s="142">
        <f t="shared" si="27"/>
        <v>2042</v>
      </c>
      <c r="C253" s="19">
        <f t="shared" si="28"/>
        <v>6</v>
      </c>
      <c r="D253" s="143">
        <v>52018</v>
      </c>
      <c r="E253" s="19" t="str">
        <f t="shared" si="24"/>
        <v>6-2042</v>
      </c>
      <c r="F253" s="214">
        <v>4.9006726269049938</v>
      </c>
      <c r="G253" s="214">
        <v>1.8710524863820528</v>
      </c>
      <c r="H253" s="214">
        <v>6.7717251132870464</v>
      </c>
      <c r="I253" s="214">
        <v>5.1404289187695804</v>
      </c>
      <c r="J253" s="214">
        <v>3.0895601429998201</v>
      </c>
      <c r="K253" s="214">
        <v>8.2299890617694</v>
      </c>
      <c r="L253" s="214">
        <v>5.3286885290159747</v>
      </c>
      <c r="M253" s="214">
        <v>1.4590574054445911</v>
      </c>
      <c r="N253" s="214">
        <v>6.787745934460566</v>
      </c>
      <c r="O253" s="19"/>
      <c r="P253" s="226">
        <f t="shared" si="25"/>
        <v>5.123263358230183</v>
      </c>
      <c r="Q253" s="226">
        <f t="shared" si="26"/>
        <v>7.2631533698390038</v>
      </c>
      <c r="R253" s="144"/>
    </row>
    <row r="254" spans="2:18">
      <c r="B254" s="142">
        <f t="shared" si="27"/>
        <v>2042</v>
      </c>
      <c r="C254" s="19">
        <f t="shared" si="28"/>
        <v>7</v>
      </c>
      <c r="D254" s="143">
        <v>52048</v>
      </c>
      <c r="E254" s="19" t="str">
        <f t="shared" si="24"/>
        <v>7-2042</v>
      </c>
      <c r="F254" s="214">
        <v>4.9394795358050771</v>
      </c>
      <c r="G254" s="214">
        <v>1.8710524863820528</v>
      </c>
      <c r="H254" s="214">
        <v>6.8105320221871297</v>
      </c>
      <c r="I254" s="214">
        <v>5.181072976424054</v>
      </c>
      <c r="J254" s="214">
        <v>3.0895601429998201</v>
      </c>
      <c r="K254" s="214">
        <v>8.2706331194238736</v>
      </c>
      <c r="L254" s="214">
        <v>5.3708233640530576</v>
      </c>
      <c r="M254" s="214">
        <v>1.4590574054445911</v>
      </c>
      <c r="N254" s="214">
        <v>6.8298807694976489</v>
      </c>
      <c r="O254" s="19"/>
      <c r="P254" s="226">
        <f t="shared" si="25"/>
        <v>5.1637919587607302</v>
      </c>
      <c r="Q254" s="226">
        <f t="shared" si="26"/>
        <v>7.3036819703695501</v>
      </c>
      <c r="R254" s="144"/>
    </row>
    <row r="255" spans="2:18">
      <c r="B255" s="142">
        <f t="shared" si="27"/>
        <v>2042</v>
      </c>
      <c r="C255" s="19">
        <f t="shared" si="28"/>
        <v>8</v>
      </c>
      <c r="D255" s="143">
        <v>52079</v>
      </c>
      <c r="E255" s="19" t="str">
        <f t="shared" si="24"/>
        <v>8-2042</v>
      </c>
      <c r="F255" s="214">
        <v>4.9012549220606623</v>
      </c>
      <c r="G255" s="214">
        <v>1.8710524863820528</v>
      </c>
      <c r="H255" s="214">
        <v>6.7723074084427148</v>
      </c>
      <c r="I255" s="214">
        <v>5.1409178310189079</v>
      </c>
      <c r="J255" s="214">
        <v>3.0895601429998201</v>
      </c>
      <c r="K255" s="214">
        <v>8.2304779740187275</v>
      </c>
      <c r="L255" s="214">
        <v>5.3291998257036468</v>
      </c>
      <c r="M255" s="214">
        <v>1.4590574054445911</v>
      </c>
      <c r="N255" s="214">
        <v>6.7882572311482381</v>
      </c>
      <c r="O255" s="19"/>
      <c r="P255" s="226">
        <f t="shared" si="25"/>
        <v>5.1237908595944051</v>
      </c>
      <c r="Q255" s="226">
        <f t="shared" si="26"/>
        <v>7.2636808712032277</v>
      </c>
      <c r="R255" s="144"/>
    </row>
    <row r="256" spans="2:18">
      <c r="B256" s="142">
        <f t="shared" si="27"/>
        <v>2042</v>
      </c>
      <c r="C256" s="19">
        <f t="shared" si="28"/>
        <v>9</v>
      </c>
      <c r="D256" s="143">
        <v>52110</v>
      </c>
      <c r="E256" s="19" t="str">
        <f t="shared" si="24"/>
        <v>9-2042</v>
      </c>
      <c r="F256" s="214">
        <v>4.9701227385173858</v>
      </c>
      <c r="G256" s="214">
        <v>1.8710524863820528</v>
      </c>
      <c r="H256" s="214">
        <v>6.8411752248994384</v>
      </c>
      <c r="I256" s="214">
        <v>5.2130913629033824</v>
      </c>
      <c r="J256" s="214">
        <v>3.0895601429998201</v>
      </c>
      <c r="K256" s="214">
        <v>8.3026515059032029</v>
      </c>
      <c r="L256" s="214">
        <v>5.404018926667252</v>
      </c>
      <c r="M256" s="214">
        <v>1.4590574054445911</v>
      </c>
      <c r="N256" s="214">
        <v>6.8630763321118433</v>
      </c>
      <c r="O256" s="19"/>
      <c r="P256" s="226">
        <f t="shared" si="25"/>
        <v>5.195744342696007</v>
      </c>
      <c r="Q256" s="226">
        <f t="shared" si="26"/>
        <v>7.335634354304827</v>
      </c>
      <c r="R256" s="144"/>
    </row>
    <row r="257" spans="2:18">
      <c r="B257" s="142">
        <f t="shared" si="27"/>
        <v>2042</v>
      </c>
      <c r="C257" s="19">
        <f t="shared" si="28"/>
        <v>10</v>
      </c>
      <c r="D257" s="143">
        <v>52140</v>
      </c>
      <c r="E257" s="19" t="str">
        <f t="shared" si="24"/>
        <v>10-2042</v>
      </c>
      <c r="F257" s="214">
        <v>4.9414101697727677</v>
      </c>
      <c r="G257" s="214">
        <v>1.8710524863820528</v>
      </c>
      <c r="H257" s="214">
        <v>6.8124626561548203</v>
      </c>
      <c r="I257" s="214">
        <v>5.1829137042479489</v>
      </c>
      <c r="J257" s="214">
        <v>3.0895601429998201</v>
      </c>
      <c r="K257" s="214">
        <v>8.2724738472477686</v>
      </c>
      <c r="L257" s="214">
        <v>5.3727382807922375</v>
      </c>
      <c r="M257" s="214">
        <v>1.4590574054445911</v>
      </c>
      <c r="N257" s="214">
        <v>6.8317956862368288</v>
      </c>
      <c r="O257" s="19"/>
      <c r="P257" s="226">
        <f t="shared" si="25"/>
        <v>5.1656873849376517</v>
      </c>
      <c r="Q257" s="226">
        <f t="shared" si="26"/>
        <v>7.3055773965464725</v>
      </c>
      <c r="R257" s="144"/>
    </row>
    <row r="258" spans="2:18">
      <c r="B258" s="142">
        <f t="shared" si="27"/>
        <v>2042</v>
      </c>
      <c r="C258" s="19">
        <f t="shared" si="28"/>
        <v>11</v>
      </c>
      <c r="D258" s="143">
        <v>52171</v>
      </c>
      <c r="E258" s="19" t="str">
        <f t="shared" si="24"/>
        <v>11-2042</v>
      </c>
      <c r="F258" s="214">
        <v>5.1855726986804855</v>
      </c>
      <c r="G258" s="214">
        <v>1.8710524863820528</v>
      </c>
      <c r="H258" s="214">
        <v>7.0566251850625381</v>
      </c>
      <c r="I258" s="214">
        <v>5.4389447914393472</v>
      </c>
      <c r="J258" s="214">
        <v>3.0895601429998201</v>
      </c>
      <c r="K258" s="214">
        <v>8.5285049344391677</v>
      </c>
      <c r="L258" s="214">
        <v>5.6381488948185989</v>
      </c>
      <c r="M258" s="214">
        <v>1.4590574054445911</v>
      </c>
      <c r="N258" s="214">
        <v>7.0972063002631902</v>
      </c>
      <c r="O258" s="19"/>
      <c r="P258" s="226">
        <f t="shared" si="25"/>
        <v>5.4208887949794766</v>
      </c>
      <c r="Q258" s="226">
        <f t="shared" si="26"/>
        <v>7.5607788065882984</v>
      </c>
      <c r="R258" s="144"/>
    </row>
    <row r="259" spans="2:18">
      <c r="B259" s="142">
        <f t="shared" si="27"/>
        <v>2042</v>
      </c>
      <c r="C259" s="19">
        <f t="shared" si="28"/>
        <v>12</v>
      </c>
      <c r="D259" s="143">
        <v>52201</v>
      </c>
      <c r="E259" s="19" t="str">
        <f t="shared" si="24"/>
        <v>12-2042</v>
      </c>
      <c r="F259" s="214">
        <v>5.2272063229888648</v>
      </c>
      <c r="G259" s="214">
        <v>1.8710524863820528</v>
      </c>
      <c r="H259" s="214">
        <v>7.0982588093709174</v>
      </c>
      <c r="I259" s="214">
        <v>5.4825476541256526</v>
      </c>
      <c r="J259" s="214">
        <v>3.0895601429998201</v>
      </c>
      <c r="K259" s="214">
        <v>8.5721077971254722</v>
      </c>
      <c r="L259" s="214">
        <v>5.6833511241071362</v>
      </c>
      <c r="M259" s="214">
        <v>1.4590574054445911</v>
      </c>
      <c r="N259" s="214">
        <v>7.1424085295517274</v>
      </c>
      <c r="O259" s="19"/>
      <c r="P259" s="226">
        <f t="shared" si="25"/>
        <v>5.4643683670738845</v>
      </c>
      <c r="Q259" s="226">
        <f t="shared" si="26"/>
        <v>7.6042583786827054</v>
      </c>
      <c r="R259" s="144"/>
    </row>
    <row r="260" spans="2:18">
      <c r="B260" s="142">
        <f t="shared" si="27"/>
        <v>2043</v>
      </c>
      <c r="C260" s="19">
        <f t="shared" si="28"/>
        <v>1</v>
      </c>
      <c r="D260" s="143">
        <v>52232</v>
      </c>
      <c r="E260" s="19" t="str">
        <f t="shared" si="24"/>
        <v>1-2043</v>
      </c>
      <c r="F260" s="214">
        <v>5.2274505581919826</v>
      </c>
      <c r="G260" s="214">
        <v>1.9456414748133524</v>
      </c>
      <c r="H260" s="214">
        <v>7.1730920330053349</v>
      </c>
      <c r="I260" s="214">
        <v>5.4827418554528888</v>
      </c>
      <c r="J260" s="214">
        <v>3.2131425487198126</v>
      </c>
      <c r="K260" s="214">
        <v>8.6958844041727019</v>
      </c>
      <c r="L260" s="214">
        <v>5.6835549984420535</v>
      </c>
      <c r="M260" s="214">
        <v>1.5174197016623749</v>
      </c>
      <c r="N260" s="214">
        <v>7.2009747001044282</v>
      </c>
      <c r="O260" s="19"/>
      <c r="P260" s="226">
        <f t="shared" si="25"/>
        <v>5.4645824706956416</v>
      </c>
      <c r="Q260" s="226">
        <f t="shared" si="26"/>
        <v>7.6899837124274883</v>
      </c>
      <c r="R260" s="144"/>
    </row>
    <row r="261" spans="2:18">
      <c r="B261" s="142">
        <f t="shared" si="27"/>
        <v>2043</v>
      </c>
      <c r="C261" s="19">
        <f t="shared" si="28"/>
        <v>2</v>
      </c>
      <c r="D261" s="143">
        <v>52263</v>
      </c>
      <c r="E261" s="19" t="str">
        <f t="shared" si="24"/>
        <v>2-2043</v>
      </c>
      <c r="F261" s="214">
        <v>5.1127787072014232</v>
      </c>
      <c r="G261" s="214">
        <v>1.9456414748133524</v>
      </c>
      <c r="H261" s="214">
        <v>7.0584201820147756</v>
      </c>
      <c r="I261" s="214">
        <v>5.3624092010995472</v>
      </c>
      <c r="J261" s="214">
        <v>3.2131425487198126</v>
      </c>
      <c r="K261" s="214">
        <v>8.5755517498193594</v>
      </c>
      <c r="L261" s="214">
        <v>5.5588174954673892</v>
      </c>
      <c r="M261" s="214">
        <v>1.5174197016623749</v>
      </c>
      <c r="N261" s="214">
        <v>7.076237197129764</v>
      </c>
      <c r="O261" s="19"/>
      <c r="P261" s="226">
        <f t="shared" si="25"/>
        <v>5.3446684679227872</v>
      </c>
      <c r="Q261" s="226">
        <f t="shared" si="26"/>
        <v>7.570069709654633</v>
      </c>
      <c r="R261" s="144"/>
    </row>
    <row r="262" spans="2:18">
      <c r="B262" s="142">
        <f t="shared" si="27"/>
        <v>2043</v>
      </c>
      <c r="C262" s="19">
        <f t="shared" si="28"/>
        <v>3</v>
      </c>
      <c r="D262" s="143">
        <v>52291</v>
      </c>
      <c r="E262" s="19" t="str">
        <f t="shared" si="24"/>
        <v>3-2043</v>
      </c>
      <c r="F262" s="214">
        <v>4.6934892965292612</v>
      </c>
      <c r="G262" s="214">
        <v>1.9456414748133524</v>
      </c>
      <c r="H262" s="214">
        <v>6.6391307713426135</v>
      </c>
      <c r="I262" s="214">
        <v>4.9225924140441544</v>
      </c>
      <c r="J262" s="214">
        <v>3.2131425487198126</v>
      </c>
      <c r="K262" s="214">
        <v>8.1357349627639675</v>
      </c>
      <c r="L262" s="214">
        <v>5.1028938929254259</v>
      </c>
      <c r="M262" s="214">
        <v>1.5174197016623749</v>
      </c>
      <c r="N262" s="214">
        <v>6.6203135945878007</v>
      </c>
      <c r="O262" s="19"/>
      <c r="P262" s="226">
        <f t="shared" si="25"/>
        <v>4.9063252011662799</v>
      </c>
      <c r="Q262" s="226">
        <f t="shared" si="26"/>
        <v>7.1317264428981275</v>
      </c>
      <c r="R262" s="144"/>
    </row>
    <row r="263" spans="2:18">
      <c r="B263" s="142">
        <f t="shared" si="27"/>
        <v>2043</v>
      </c>
      <c r="C263" s="19">
        <f t="shared" si="28"/>
        <v>4</v>
      </c>
      <c r="D263" s="143">
        <v>52322</v>
      </c>
      <c r="E263" s="19" t="str">
        <f t="shared" si="24"/>
        <v>4-2043</v>
      </c>
      <c r="F263" s="214">
        <v>4.6135731842236627</v>
      </c>
      <c r="G263" s="214">
        <v>1.9456414748133524</v>
      </c>
      <c r="H263" s="214">
        <v>6.5592146590370151</v>
      </c>
      <c r="I263" s="214">
        <v>4.8387206543140753</v>
      </c>
      <c r="J263" s="214">
        <v>3.2131425487198126</v>
      </c>
      <c r="K263" s="214">
        <v>8.0518632030338875</v>
      </c>
      <c r="L263" s="214">
        <v>5.0159523938644774</v>
      </c>
      <c r="M263" s="214">
        <v>1.5174197016623749</v>
      </c>
      <c r="N263" s="214">
        <v>6.5333720955268522</v>
      </c>
      <c r="O263" s="19"/>
      <c r="P263" s="226">
        <f t="shared" si="25"/>
        <v>4.8227487441340715</v>
      </c>
      <c r="Q263" s="226">
        <f t="shared" si="26"/>
        <v>7.0481499858659191</v>
      </c>
      <c r="R263" s="144"/>
    </row>
    <row r="264" spans="2:18">
      <c r="B264" s="142">
        <f t="shared" si="27"/>
        <v>2043</v>
      </c>
      <c r="C264" s="19">
        <f t="shared" si="28"/>
        <v>5</v>
      </c>
      <c r="D264" s="143">
        <v>52352</v>
      </c>
      <c r="E264" s="19" t="str">
        <f t="shared" si="24"/>
        <v>5-2043</v>
      </c>
      <c r="F264" s="214">
        <v>4.7740829763594324</v>
      </c>
      <c r="G264" s="214">
        <v>1.9456414748133524</v>
      </c>
      <c r="H264" s="214">
        <v>6.7197244511727847</v>
      </c>
      <c r="I264" s="214">
        <v>5.0070068871923015</v>
      </c>
      <c r="J264" s="214">
        <v>3.2131425487198126</v>
      </c>
      <c r="K264" s="214">
        <v>8.2201494359121146</v>
      </c>
      <c r="L264" s="214">
        <v>5.190404922127235</v>
      </c>
      <c r="M264" s="214">
        <v>1.5174197016623749</v>
      </c>
      <c r="N264" s="214">
        <v>6.7078246237896098</v>
      </c>
      <c r="O264" s="19"/>
      <c r="P264" s="226">
        <f t="shared" si="25"/>
        <v>4.9904982618929905</v>
      </c>
      <c r="Q264" s="226">
        <f t="shared" si="26"/>
        <v>7.2158995036248363</v>
      </c>
      <c r="R264" s="144"/>
    </row>
    <row r="265" spans="2:18">
      <c r="B265" s="142">
        <f t="shared" si="27"/>
        <v>2043</v>
      </c>
      <c r="C265" s="19">
        <f t="shared" si="28"/>
        <v>6</v>
      </c>
      <c r="D265" s="143">
        <v>52383</v>
      </c>
      <c r="E265" s="19" t="str">
        <f t="shared" ref="E265:E328" si="29">C265&amp;"-"&amp;B265</f>
        <v>6-2043</v>
      </c>
      <c r="F265" s="214">
        <v>4.8974458989398624</v>
      </c>
      <c r="G265" s="214">
        <v>1.9456414748133524</v>
      </c>
      <c r="H265" s="214">
        <v>6.8430873737532147</v>
      </c>
      <c r="I265" s="214">
        <v>5.1363305101774275</v>
      </c>
      <c r="J265" s="214">
        <v>3.2131425487198126</v>
      </c>
      <c r="K265" s="214">
        <v>8.3494730588972406</v>
      </c>
      <c r="L265" s="214">
        <v>5.3244678465842936</v>
      </c>
      <c r="M265" s="214">
        <v>1.5174197016623749</v>
      </c>
      <c r="N265" s="214">
        <v>6.8418875482466683</v>
      </c>
      <c r="O265" s="19"/>
      <c r="P265" s="226">
        <f t="shared" ref="P265:P328" si="30">AVERAGE(F265,I265,L265)</f>
        <v>5.1194147519005284</v>
      </c>
      <c r="Q265" s="226">
        <f t="shared" ref="Q265:Q328" si="31">AVERAGE(H265,K265,N265)</f>
        <v>7.3448159936323743</v>
      </c>
      <c r="R265" s="144"/>
    </row>
    <row r="266" spans="2:18">
      <c r="B266" s="142">
        <f t="shared" si="27"/>
        <v>2043</v>
      </c>
      <c r="C266" s="19">
        <f t="shared" si="28"/>
        <v>7</v>
      </c>
      <c r="D266" s="143">
        <v>52413</v>
      </c>
      <c r="E266" s="19" t="str">
        <f t="shared" si="29"/>
        <v>7-2043</v>
      </c>
      <c r="F266" s="214">
        <v>4.93624229336627</v>
      </c>
      <c r="G266" s="214">
        <v>1.9456414748133524</v>
      </c>
      <c r="H266" s="214">
        <v>6.8818837681796223</v>
      </c>
      <c r="I266" s="214">
        <v>5.1769607413286245</v>
      </c>
      <c r="J266" s="214">
        <v>3.2131425487198126</v>
      </c>
      <c r="K266" s="214">
        <v>8.3901032900484367</v>
      </c>
      <c r="L266" s="214">
        <v>5.3665887313705785</v>
      </c>
      <c r="M266" s="214">
        <v>1.5174197016623749</v>
      </c>
      <c r="N266" s="214">
        <v>6.8840084330329532</v>
      </c>
      <c r="O266" s="19"/>
      <c r="P266" s="226">
        <f t="shared" si="30"/>
        <v>5.159930588688491</v>
      </c>
      <c r="Q266" s="226">
        <f t="shared" si="31"/>
        <v>7.3853318304203377</v>
      </c>
      <c r="R266" s="144"/>
    </row>
    <row r="267" spans="2:18">
      <c r="B267" s="142">
        <f t="shared" si="27"/>
        <v>2043</v>
      </c>
      <c r="C267" s="19">
        <f t="shared" si="28"/>
        <v>8</v>
      </c>
      <c r="D267" s="143">
        <v>52444</v>
      </c>
      <c r="E267" s="19" t="str">
        <f t="shared" si="29"/>
        <v>8-2043</v>
      </c>
      <c r="F267" s="214">
        <v>4.8980576536225389</v>
      </c>
      <c r="G267" s="214">
        <v>1.9456414748133524</v>
      </c>
      <c r="H267" s="214">
        <v>6.8436991284358912</v>
      </c>
      <c r="I267" s="214">
        <v>5.1368559042904067</v>
      </c>
      <c r="J267" s="214">
        <v>3.2131425487198126</v>
      </c>
      <c r="K267" s="214">
        <v>8.3499984530102189</v>
      </c>
      <c r="L267" s="214">
        <v>5.3250172866334564</v>
      </c>
      <c r="M267" s="214">
        <v>1.5174197016623749</v>
      </c>
      <c r="N267" s="214">
        <v>6.8424369882958311</v>
      </c>
      <c r="O267" s="19"/>
      <c r="P267" s="226">
        <f t="shared" si="30"/>
        <v>5.119976948182134</v>
      </c>
      <c r="Q267" s="226">
        <f t="shared" si="31"/>
        <v>7.3453781899139798</v>
      </c>
      <c r="R267" s="144"/>
    </row>
    <row r="268" spans="2:18">
      <c r="B268" s="142">
        <f t="shared" si="27"/>
        <v>2043</v>
      </c>
      <c r="C268" s="19">
        <f t="shared" si="28"/>
        <v>9</v>
      </c>
      <c r="D268" s="143">
        <v>52475</v>
      </c>
      <c r="E268" s="19" t="str">
        <f t="shared" si="29"/>
        <v>9-2043</v>
      </c>
      <c r="F268" s="214">
        <v>4.9668956787613503</v>
      </c>
      <c r="G268" s="214">
        <v>1.9456414748133524</v>
      </c>
      <c r="H268" s="214">
        <v>6.9125371535747027</v>
      </c>
      <c r="I268" s="214">
        <v>5.208991109122743</v>
      </c>
      <c r="J268" s="214">
        <v>3.2131425487198126</v>
      </c>
      <c r="K268" s="214">
        <v>8.4221336578425561</v>
      </c>
      <c r="L268" s="214">
        <v>5.3997972157459104</v>
      </c>
      <c r="M268" s="214">
        <v>1.5174197016623749</v>
      </c>
      <c r="N268" s="214">
        <v>6.9172169174082851</v>
      </c>
      <c r="O268" s="19"/>
      <c r="P268" s="226">
        <f t="shared" si="30"/>
        <v>5.1918946678766673</v>
      </c>
      <c r="Q268" s="226">
        <f t="shared" si="31"/>
        <v>7.4172959096085149</v>
      </c>
      <c r="R268" s="144"/>
    </row>
    <row r="269" spans="2:18">
      <c r="B269" s="142">
        <f t="shared" si="27"/>
        <v>2043</v>
      </c>
      <c r="C269" s="19">
        <f t="shared" si="28"/>
        <v>10</v>
      </c>
      <c r="D269" s="143">
        <v>52505</v>
      </c>
      <c r="E269" s="19" t="str">
        <f t="shared" si="29"/>
        <v>10-2043</v>
      </c>
      <c r="F269" s="214">
        <v>4.938216800807063</v>
      </c>
      <c r="G269" s="214">
        <v>1.9456414748133524</v>
      </c>
      <c r="H269" s="214">
        <v>6.8838582756204154</v>
      </c>
      <c r="I269" s="214">
        <v>5.1788557788881242</v>
      </c>
      <c r="J269" s="214">
        <v>3.2131425487198126</v>
      </c>
      <c r="K269" s="214">
        <v>8.3919983276079364</v>
      </c>
      <c r="L269" s="214">
        <v>5.368560445071008</v>
      </c>
      <c r="M269" s="214">
        <v>1.5174197016623749</v>
      </c>
      <c r="N269" s="214">
        <v>6.8859801467333828</v>
      </c>
      <c r="O269" s="19"/>
      <c r="P269" s="226">
        <f t="shared" si="30"/>
        <v>5.1618776749220645</v>
      </c>
      <c r="Q269" s="226">
        <f t="shared" si="31"/>
        <v>7.3872789166539121</v>
      </c>
      <c r="R269" s="144"/>
    </row>
    <row r="270" spans="2:18">
      <c r="B270" s="142">
        <f t="shared" si="27"/>
        <v>2043</v>
      </c>
      <c r="C270" s="19">
        <f t="shared" si="28"/>
        <v>11</v>
      </c>
      <c r="D270" s="143">
        <v>52536</v>
      </c>
      <c r="E270" s="19" t="str">
        <f t="shared" si="29"/>
        <v>11-2043</v>
      </c>
      <c r="F270" s="214">
        <v>5.1822373338183088</v>
      </c>
      <c r="G270" s="214">
        <v>1.9456414748133524</v>
      </c>
      <c r="H270" s="214">
        <v>7.1278788086316611</v>
      </c>
      <c r="I270" s="214">
        <v>5.4347059222754437</v>
      </c>
      <c r="J270" s="214">
        <v>3.2131425487198126</v>
      </c>
      <c r="K270" s="214">
        <v>8.6478484709952568</v>
      </c>
      <c r="L270" s="214">
        <v>5.6337850773173406</v>
      </c>
      <c r="M270" s="214">
        <v>1.5174197016623749</v>
      </c>
      <c r="N270" s="214">
        <v>7.1512047789797153</v>
      </c>
      <c r="O270" s="19"/>
      <c r="P270" s="226">
        <f t="shared" si="30"/>
        <v>5.416909444470364</v>
      </c>
      <c r="Q270" s="226">
        <f t="shared" si="31"/>
        <v>7.6423106862022108</v>
      </c>
      <c r="R270" s="144"/>
    </row>
    <row r="271" spans="2:18">
      <c r="B271" s="142">
        <f t="shared" si="27"/>
        <v>2043</v>
      </c>
      <c r="C271" s="19">
        <f t="shared" si="28"/>
        <v>12</v>
      </c>
      <c r="D271" s="143">
        <v>52566</v>
      </c>
      <c r="E271" s="19" t="str">
        <f t="shared" si="29"/>
        <v>12-2043</v>
      </c>
      <c r="F271" s="214">
        <v>5.2238601012204677</v>
      </c>
      <c r="G271" s="214">
        <v>1.9456414748133524</v>
      </c>
      <c r="H271" s="214">
        <v>7.1695015760338201</v>
      </c>
      <c r="I271" s="214">
        <v>5.4782944758869121</v>
      </c>
      <c r="J271" s="214">
        <v>3.2131425487198126</v>
      </c>
      <c r="K271" s="214">
        <v>8.6914370246067243</v>
      </c>
      <c r="L271" s="214">
        <v>5.6789728885511561</v>
      </c>
      <c r="M271" s="214">
        <v>1.5174197016623749</v>
      </c>
      <c r="N271" s="214">
        <v>7.1963925902135308</v>
      </c>
      <c r="O271" s="19"/>
      <c r="P271" s="226">
        <f t="shared" si="30"/>
        <v>5.4603758218861786</v>
      </c>
      <c r="Q271" s="226">
        <f t="shared" si="31"/>
        <v>7.6857770636180254</v>
      </c>
      <c r="R271" s="144"/>
    </row>
    <row r="272" spans="2:18">
      <c r="B272" s="142">
        <f t="shared" si="27"/>
        <v>2044</v>
      </c>
      <c r="C272" s="19">
        <f t="shared" si="28"/>
        <v>1</v>
      </c>
      <c r="D272" s="143">
        <v>52597</v>
      </c>
      <c r="E272" s="19" t="str">
        <f t="shared" si="29"/>
        <v>1-2044</v>
      </c>
      <c r="F272" s="214">
        <v>5.2241090310979308</v>
      </c>
      <c r="G272" s="214">
        <v>2.0232039737248892</v>
      </c>
      <c r="H272" s="214">
        <v>7.2473130048228196</v>
      </c>
      <c r="I272" s="214">
        <v>5.4784945802754335</v>
      </c>
      <c r="J272" s="214">
        <v>3.3416682506686057</v>
      </c>
      <c r="K272" s="214">
        <v>8.8201628309440387</v>
      </c>
      <c r="L272" s="214">
        <v>5.6791824274582421</v>
      </c>
      <c r="M272" s="214">
        <v>1.5781164897288698</v>
      </c>
      <c r="N272" s="214">
        <v>7.2572989171871116</v>
      </c>
      <c r="P272" s="226">
        <f t="shared" si="30"/>
        <v>5.4605953462772021</v>
      </c>
      <c r="Q272" s="226">
        <f t="shared" si="31"/>
        <v>7.7749249176513224</v>
      </c>
      <c r="R272" s="144"/>
    </row>
    <row r="273" spans="2:18">
      <c r="B273" s="142">
        <f t="shared" si="27"/>
        <v>2044</v>
      </c>
      <c r="C273" s="19">
        <f t="shared" si="28"/>
        <v>2</v>
      </c>
      <c r="D273" s="143">
        <v>52628</v>
      </c>
      <c r="E273" s="19" t="str">
        <f t="shared" si="29"/>
        <v>2-2044</v>
      </c>
      <c r="F273" s="214">
        <v>5.1095152265555539</v>
      </c>
      <c r="G273" s="214">
        <v>2.0232039737248892</v>
      </c>
      <c r="H273" s="214">
        <v>7.1327192002804427</v>
      </c>
      <c r="I273" s="214">
        <v>5.3582610647492546</v>
      </c>
      <c r="J273" s="214">
        <v>3.3416682506686057</v>
      </c>
      <c r="K273" s="214">
        <v>8.6999293154178599</v>
      </c>
      <c r="L273" s="214">
        <v>5.554546584292563</v>
      </c>
      <c r="M273" s="214">
        <v>1.5781164897288698</v>
      </c>
      <c r="N273" s="214">
        <v>7.1326630740214325</v>
      </c>
      <c r="P273" s="226">
        <f t="shared" si="30"/>
        <v>5.3407742918657908</v>
      </c>
      <c r="Q273" s="226">
        <f t="shared" si="31"/>
        <v>7.655103863239912</v>
      </c>
      <c r="R273" s="144"/>
    </row>
    <row r="274" spans="2:18">
      <c r="B274" s="142">
        <f t="shared" si="27"/>
        <v>2044</v>
      </c>
      <c r="C274" s="19">
        <f t="shared" si="28"/>
        <v>3</v>
      </c>
      <c r="D274" s="143">
        <v>52657</v>
      </c>
      <c r="E274" s="19" t="str">
        <f t="shared" si="29"/>
        <v>3-2044</v>
      </c>
      <c r="F274" s="214">
        <v>4.6904978042634164</v>
      </c>
      <c r="G274" s="214">
        <v>2.0232039737248892</v>
      </c>
      <c r="H274" s="214">
        <v>6.7137017779883053</v>
      </c>
      <c r="I274" s="214">
        <v>4.9187899382752232</v>
      </c>
      <c r="J274" s="214">
        <v>3.3416682506686057</v>
      </c>
      <c r="K274" s="214">
        <v>8.2604581889438293</v>
      </c>
      <c r="L274" s="214">
        <v>5.098978501938717</v>
      </c>
      <c r="M274" s="214">
        <v>1.5781164897288698</v>
      </c>
      <c r="N274" s="214">
        <v>6.6770949916675866</v>
      </c>
      <c r="P274" s="226">
        <f t="shared" si="30"/>
        <v>4.9027554148257861</v>
      </c>
      <c r="Q274" s="226">
        <f t="shared" si="31"/>
        <v>7.2170849861999073</v>
      </c>
      <c r="R274" s="144"/>
    </row>
    <row r="275" spans="2:18">
      <c r="B275" s="142">
        <f t="shared" si="27"/>
        <v>2044</v>
      </c>
      <c r="C275" s="19">
        <f t="shared" si="28"/>
        <v>4</v>
      </c>
      <c r="D275" s="143">
        <v>52688</v>
      </c>
      <c r="E275" s="19" t="str">
        <f t="shared" si="29"/>
        <v>4-2044</v>
      </c>
      <c r="F275" s="214">
        <v>4.6106369108625511</v>
      </c>
      <c r="G275" s="214">
        <v>2.0232039737248892</v>
      </c>
      <c r="H275" s="214">
        <v>6.6338408845874408</v>
      </c>
      <c r="I275" s="214">
        <v>4.8349883103135252</v>
      </c>
      <c r="J275" s="214">
        <v>3.3416682506686057</v>
      </c>
      <c r="K275" s="214">
        <v>8.1766565609821313</v>
      </c>
      <c r="L275" s="214">
        <v>5.0121088518639638</v>
      </c>
      <c r="M275" s="214">
        <v>1.5781164897288698</v>
      </c>
      <c r="N275" s="214">
        <v>6.5902253415928334</v>
      </c>
      <c r="P275" s="226">
        <f t="shared" si="30"/>
        <v>4.8192446910133464</v>
      </c>
      <c r="Q275" s="226">
        <f t="shared" si="31"/>
        <v>7.1335742623874685</v>
      </c>
      <c r="R275" s="144"/>
    </row>
    <row r="276" spans="2:18">
      <c r="B276" s="142">
        <f t="shared" si="27"/>
        <v>2044</v>
      </c>
      <c r="C276" s="19">
        <f t="shared" si="28"/>
        <v>5</v>
      </c>
      <c r="D276" s="143">
        <v>52718</v>
      </c>
      <c r="E276" s="19" t="str">
        <f t="shared" si="29"/>
        <v>5-2044</v>
      </c>
      <c r="F276" s="214">
        <v>4.7710489799623792</v>
      </c>
      <c r="G276" s="214">
        <v>2.0232039737248892</v>
      </c>
      <c r="H276" s="214">
        <v>6.794252953687268</v>
      </c>
      <c r="I276" s="214">
        <v>5.0031502670149415</v>
      </c>
      <c r="J276" s="214">
        <v>3.3416682506686057</v>
      </c>
      <c r="K276" s="214">
        <v>8.3448185176835477</v>
      </c>
      <c r="L276" s="214">
        <v>5.1864330227254918</v>
      </c>
      <c r="M276" s="214">
        <v>1.5781164897288698</v>
      </c>
      <c r="N276" s="214">
        <v>6.7645495124543613</v>
      </c>
      <c r="P276" s="226">
        <f t="shared" si="30"/>
        <v>4.9868774232342714</v>
      </c>
      <c r="Q276" s="226">
        <f t="shared" si="31"/>
        <v>7.3012069946083926</v>
      </c>
      <c r="R276" s="144"/>
    </row>
    <row r="277" spans="2:18">
      <c r="B277" s="142">
        <f t="shared" si="27"/>
        <v>2044</v>
      </c>
      <c r="C277" s="19">
        <f t="shared" si="28"/>
        <v>6</v>
      </c>
      <c r="D277" s="143">
        <v>52749</v>
      </c>
      <c r="E277" s="19" t="str">
        <f t="shared" si="29"/>
        <v>6-2044</v>
      </c>
      <c r="F277" s="214">
        <v>4.8943380508899974</v>
      </c>
      <c r="G277" s="214">
        <v>2.0232039737248892</v>
      </c>
      <c r="H277" s="214">
        <v>6.9175420246148871</v>
      </c>
      <c r="I277" s="214">
        <v>5.1323799540713546</v>
      </c>
      <c r="J277" s="214">
        <v>3.3416682506686057</v>
      </c>
      <c r="K277" s="214">
        <v>8.4740482047399599</v>
      </c>
      <c r="L277" s="214">
        <v>5.3203988143482137</v>
      </c>
      <c r="M277" s="214">
        <v>1.5781164897288698</v>
      </c>
      <c r="N277" s="214">
        <v>6.8985153040770832</v>
      </c>
      <c r="P277" s="226">
        <f t="shared" si="30"/>
        <v>5.1157056064365216</v>
      </c>
      <c r="Q277" s="226">
        <f t="shared" si="31"/>
        <v>7.4300351778106437</v>
      </c>
      <c r="R277" s="144"/>
    </row>
    <row r="278" spans="2:18">
      <c r="B278" s="142">
        <f t="shared" si="27"/>
        <v>2044</v>
      </c>
      <c r="C278" s="19">
        <f t="shared" si="28"/>
        <v>7</v>
      </c>
      <c r="D278" s="143">
        <v>52779</v>
      </c>
      <c r="E278" s="19" t="str">
        <f t="shared" si="29"/>
        <v>7-2044</v>
      </c>
      <c r="F278" s="214">
        <v>4.9331144094060795</v>
      </c>
      <c r="G278" s="214">
        <v>2.0232039737248892</v>
      </c>
      <c r="H278" s="214">
        <v>6.9563183831309683</v>
      </c>
      <c r="I278" s="214">
        <v>5.1729846554236483</v>
      </c>
      <c r="J278" s="214">
        <v>3.3416682506686057</v>
      </c>
      <c r="K278" s="214">
        <v>8.5146529060922536</v>
      </c>
      <c r="L278" s="214">
        <v>5.362493010969513</v>
      </c>
      <c r="M278" s="214">
        <v>1.5781164897288698</v>
      </c>
      <c r="N278" s="214">
        <v>6.9406095006983826</v>
      </c>
      <c r="P278" s="226">
        <f t="shared" si="30"/>
        <v>5.1561973585997469</v>
      </c>
      <c r="Q278" s="226">
        <f t="shared" si="31"/>
        <v>7.4705269299738681</v>
      </c>
      <c r="R278" s="144"/>
    </row>
    <row r="279" spans="2:18">
      <c r="B279" s="142">
        <f t="shared" si="27"/>
        <v>2044</v>
      </c>
      <c r="C279" s="19">
        <f t="shared" si="28"/>
        <v>8</v>
      </c>
      <c r="D279" s="143">
        <v>52810</v>
      </c>
      <c r="E279" s="19" t="str">
        <f t="shared" si="29"/>
        <v>8-2044</v>
      </c>
      <c r="F279" s="214">
        <v>4.8949585143685788</v>
      </c>
      <c r="G279" s="214">
        <v>2.0232039737248892</v>
      </c>
      <c r="H279" s="214">
        <v>6.9181624880934685</v>
      </c>
      <c r="I279" s="214">
        <v>5.1329162972417199</v>
      </c>
      <c r="J279" s="214">
        <v>3.3416682506686057</v>
      </c>
      <c r="K279" s="214">
        <v>8.4745845479103252</v>
      </c>
      <c r="L279" s="214">
        <v>5.3209587523801716</v>
      </c>
      <c r="M279" s="214">
        <v>1.5781164897288698</v>
      </c>
      <c r="N279" s="214">
        <v>6.8990752421090411</v>
      </c>
      <c r="P279" s="226">
        <f t="shared" si="30"/>
        <v>5.1162778546634904</v>
      </c>
      <c r="Q279" s="226">
        <f t="shared" si="31"/>
        <v>7.4306074260376116</v>
      </c>
      <c r="R279" s="144"/>
    </row>
    <row r="280" spans="2:18">
      <c r="B280" s="142">
        <f t="shared" si="27"/>
        <v>2044</v>
      </c>
      <c r="C280" s="19">
        <f t="shared" si="28"/>
        <v>9</v>
      </c>
      <c r="D280" s="143">
        <v>52841</v>
      </c>
      <c r="E280" s="19" t="str">
        <f t="shared" si="29"/>
        <v>9-2044</v>
      </c>
      <c r="F280" s="214">
        <v>4.9637575969140615</v>
      </c>
      <c r="G280" s="214">
        <v>2.0232039737248892</v>
      </c>
      <c r="H280" s="214">
        <v>6.9869615706389503</v>
      </c>
      <c r="I280" s="214">
        <v>5.2050019368582454</v>
      </c>
      <c r="J280" s="214">
        <v>3.3416682506686057</v>
      </c>
      <c r="K280" s="214">
        <v>8.5466701875268516</v>
      </c>
      <c r="L280" s="214">
        <v>5.3956872236174807</v>
      </c>
      <c r="M280" s="214">
        <v>1.5781164897288698</v>
      </c>
      <c r="N280" s="214">
        <v>6.9738037133463502</v>
      </c>
      <c r="P280" s="226">
        <f t="shared" si="30"/>
        <v>5.1881489191299286</v>
      </c>
      <c r="Q280" s="226">
        <f t="shared" si="31"/>
        <v>7.5024784905040507</v>
      </c>
      <c r="R280" s="144"/>
    </row>
    <row r="281" spans="2:18">
      <c r="B281" s="142">
        <f t="shared" si="27"/>
        <v>2044</v>
      </c>
      <c r="C281" s="19">
        <f t="shared" si="28"/>
        <v>10</v>
      </c>
      <c r="D281" s="143">
        <v>52871</v>
      </c>
      <c r="E281" s="19" t="str">
        <f t="shared" si="29"/>
        <v>10-2044</v>
      </c>
      <c r="F281" s="214">
        <v>4.9351014252787442</v>
      </c>
      <c r="G281" s="214">
        <v>2.0232039737248892</v>
      </c>
      <c r="H281" s="214">
        <v>6.958305399003633</v>
      </c>
      <c r="I281" s="214">
        <v>5.1748954098368616</v>
      </c>
      <c r="J281" s="214">
        <v>3.3416682506686057</v>
      </c>
      <c r="K281" s="214">
        <v>8.5165636605054669</v>
      </c>
      <c r="L281" s="214">
        <v>5.3644797337853536</v>
      </c>
      <c r="M281" s="214">
        <v>1.5781164897288698</v>
      </c>
      <c r="N281" s="214">
        <v>6.9425962235142231</v>
      </c>
      <c r="P281" s="226">
        <f t="shared" si="30"/>
        <v>5.1581588563003198</v>
      </c>
      <c r="Q281" s="226">
        <f t="shared" si="31"/>
        <v>7.472488427674441</v>
      </c>
      <c r="R281" s="144"/>
    </row>
    <row r="282" spans="2:18">
      <c r="B282" s="142">
        <f t="shared" si="27"/>
        <v>2044</v>
      </c>
      <c r="C282" s="19">
        <f t="shared" si="28"/>
        <v>11</v>
      </c>
      <c r="D282" s="143">
        <v>52902</v>
      </c>
      <c r="E282" s="19" t="str">
        <f t="shared" si="29"/>
        <v>11-2044</v>
      </c>
      <c r="F282" s="214">
        <v>5.1789728271235838</v>
      </c>
      <c r="G282" s="214">
        <v>2.0232039737248892</v>
      </c>
      <c r="H282" s="214">
        <v>7.2021768008484734</v>
      </c>
      <c r="I282" s="214">
        <v>5.4305559082203558</v>
      </c>
      <c r="J282" s="214">
        <v>3.3416682506686057</v>
      </c>
      <c r="K282" s="214">
        <v>8.772224158888962</v>
      </c>
      <c r="L282" s="214">
        <v>5.6295085434716601</v>
      </c>
      <c r="M282" s="214">
        <v>1.5781164897288698</v>
      </c>
      <c r="N282" s="214">
        <v>7.2076250332005296</v>
      </c>
      <c r="P282" s="226">
        <f t="shared" si="30"/>
        <v>5.4130124262718669</v>
      </c>
      <c r="Q282" s="226">
        <f t="shared" si="31"/>
        <v>7.7273419976459889</v>
      </c>
      <c r="R282" s="144"/>
    </row>
    <row r="283" spans="2:18">
      <c r="B283" s="142">
        <f t="shared" si="27"/>
        <v>2044</v>
      </c>
      <c r="C283" s="19">
        <f t="shared" si="28"/>
        <v>12</v>
      </c>
      <c r="D283" s="143">
        <v>52932</v>
      </c>
      <c r="E283" s="19" t="str">
        <f t="shared" si="29"/>
        <v>12-2044</v>
      </c>
      <c r="F283" s="214">
        <v>5.2205742279998173</v>
      </c>
      <c r="G283" s="214">
        <v>2.0232039737248892</v>
      </c>
      <c r="H283" s="214">
        <v>7.243778201724707</v>
      </c>
      <c r="I283" s="214">
        <v>5.4741172344479017</v>
      </c>
      <c r="J283" s="214">
        <v>3.3416682506686057</v>
      </c>
      <c r="K283" s="214">
        <v>8.8157854851165069</v>
      </c>
      <c r="L283" s="214">
        <v>5.6746678783788411</v>
      </c>
      <c r="M283" s="214">
        <v>1.5781164897288698</v>
      </c>
      <c r="N283" s="214">
        <v>7.2527843681077107</v>
      </c>
      <c r="P283" s="226">
        <f t="shared" si="30"/>
        <v>5.4564531136088528</v>
      </c>
      <c r="Q283" s="226">
        <f t="shared" si="31"/>
        <v>7.7707826849829758</v>
      </c>
      <c r="R283" s="144"/>
    </row>
    <row r="284" spans="2:18">
      <c r="B284" s="142">
        <f t="shared" si="27"/>
        <v>2045</v>
      </c>
      <c r="C284" s="19">
        <f t="shared" si="28"/>
        <v>1</v>
      </c>
      <c r="D284" s="143">
        <v>52963</v>
      </c>
      <c r="E284" s="19" t="str">
        <f t="shared" si="29"/>
        <v>1-2045</v>
      </c>
      <c r="F284" s="214">
        <v>5.2208413205704627</v>
      </c>
      <c r="G284" s="214">
        <v>2.1038585245552777</v>
      </c>
      <c r="H284" s="214">
        <v>7.3246998451257408</v>
      </c>
      <c r="I284" s="214">
        <v>5.4743403002000077</v>
      </c>
      <c r="J284" s="214">
        <v>3.4753349806953504</v>
      </c>
      <c r="K284" s="214">
        <v>8.9496752808953577</v>
      </c>
      <c r="L284" s="214">
        <v>5.6749015961690192</v>
      </c>
      <c r="M284" s="214">
        <v>1.6412411493180241</v>
      </c>
      <c r="N284" s="214">
        <v>7.3161427454870438</v>
      </c>
      <c r="P284" s="226">
        <f t="shared" si="30"/>
        <v>5.4566944056464957</v>
      </c>
      <c r="Q284" s="226">
        <f t="shared" si="31"/>
        <v>7.8635059571693802</v>
      </c>
      <c r="R284" s="144"/>
    </row>
    <row r="285" spans="2:18">
      <c r="B285" s="142">
        <f t="shared" si="27"/>
        <v>2045</v>
      </c>
      <c r="C285" s="19">
        <f t="shared" si="28"/>
        <v>2</v>
      </c>
      <c r="D285" s="143">
        <v>52994</v>
      </c>
      <c r="E285" s="19" t="str">
        <f t="shared" si="29"/>
        <v>2-2045</v>
      </c>
      <c r="F285" s="214">
        <v>5.1063371144261795</v>
      </c>
      <c r="G285" s="214">
        <v>2.1038585245552777</v>
      </c>
      <c r="H285" s="214">
        <v>7.2101956389814568</v>
      </c>
      <c r="I285" s="214">
        <v>5.354220565928939</v>
      </c>
      <c r="J285" s="214">
        <v>3.4753349806953504</v>
      </c>
      <c r="K285" s="214">
        <v>8.8295555466242899</v>
      </c>
      <c r="L285" s="214">
        <v>5.5503835071242822</v>
      </c>
      <c r="M285" s="214">
        <v>1.6412411493180241</v>
      </c>
      <c r="N285" s="214">
        <v>7.1916246564423059</v>
      </c>
      <c r="P285" s="226">
        <f t="shared" si="30"/>
        <v>5.3369803958264681</v>
      </c>
      <c r="Q285" s="226">
        <f t="shared" si="31"/>
        <v>7.7437919473493508</v>
      </c>
      <c r="R285" s="144"/>
    </row>
    <row r="286" spans="2:18">
      <c r="B286" s="142">
        <f t="shared" si="27"/>
        <v>2045</v>
      </c>
      <c r="C286" s="19">
        <f t="shared" si="28"/>
        <v>3</v>
      </c>
      <c r="D286" s="143">
        <v>53022</v>
      </c>
      <c r="E286" s="19" t="str">
        <f t="shared" si="29"/>
        <v>3-2045</v>
      </c>
      <c r="F286" s="214">
        <v>4.6875967719698943</v>
      </c>
      <c r="G286" s="214">
        <v>2.1038585245552777</v>
      </c>
      <c r="H286" s="214">
        <v>6.7914552965251715</v>
      </c>
      <c r="I286" s="214">
        <v>4.9151015888375609</v>
      </c>
      <c r="J286" s="214">
        <v>3.4753349806953504</v>
      </c>
      <c r="K286" s="214">
        <v>8.3904365695329108</v>
      </c>
      <c r="L286" s="214">
        <v>5.0951787253236471</v>
      </c>
      <c r="M286" s="214">
        <v>1.6412411493180241</v>
      </c>
      <c r="N286" s="214">
        <v>6.7364198746416708</v>
      </c>
      <c r="P286" s="226">
        <f t="shared" si="30"/>
        <v>4.8992923620437008</v>
      </c>
      <c r="Q286" s="226">
        <f t="shared" si="31"/>
        <v>7.3061039135665844</v>
      </c>
      <c r="R286" s="144"/>
    </row>
    <row r="287" spans="2:18">
      <c r="B287" s="142">
        <f t="shared" si="27"/>
        <v>2045</v>
      </c>
      <c r="C287" s="19">
        <f t="shared" si="28"/>
        <v>4</v>
      </c>
      <c r="D287" s="143">
        <v>53053</v>
      </c>
      <c r="E287" s="19" t="str">
        <f t="shared" si="29"/>
        <v>4-2045</v>
      </c>
      <c r="F287" s="214">
        <v>4.6078014449500531</v>
      </c>
      <c r="G287" s="214">
        <v>2.1038585245552777</v>
      </c>
      <c r="H287" s="214">
        <v>6.7116599695053303</v>
      </c>
      <c r="I287" s="214">
        <v>4.8313832061887734</v>
      </c>
      <c r="J287" s="214">
        <v>3.4753349806953504</v>
      </c>
      <c r="K287" s="214">
        <v>8.3067181868841242</v>
      </c>
      <c r="L287" s="214">
        <v>5.0083952979905515</v>
      </c>
      <c r="M287" s="214">
        <v>1.6412411493180241</v>
      </c>
      <c r="N287" s="214">
        <v>6.6496364473085752</v>
      </c>
      <c r="P287" s="226">
        <f t="shared" si="30"/>
        <v>4.8158599830431266</v>
      </c>
      <c r="Q287" s="226">
        <f t="shared" si="31"/>
        <v>7.2226715345660102</v>
      </c>
      <c r="R287" s="144"/>
    </row>
    <row r="288" spans="2:18">
      <c r="B288" s="142">
        <f t="shared" si="27"/>
        <v>2045</v>
      </c>
      <c r="C288" s="19">
        <f t="shared" si="28"/>
        <v>5</v>
      </c>
      <c r="D288" s="143">
        <v>53083</v>
      </c>
      <c r="E288" s="19" t="str">
        <f t="shared" si="29"/>
        <v>5-2045</v>
      </c>
      <c r="F288" s="214">
        <v>4.7681316008194097</v>
      </c>
      <c r="G288" s="214">
        <v>2.1038585245552777</v>
      </c>
      <c r="H288" s="214">
        <v>6.8719901253746869</v>
      </c>
      <c r="I288" s="214">
        <v>4.9994408957623762</v>
      </c>
      <c r="J288" s="214">
        <v>3.4753349806953504</v>
      </c>
      <c r="K288" s="214">
        <v>8.474775876457727</v>
      </c>
      <c r="L288" s="214">
        <v>5.1826125465286355</v>
      </c>
      <c r="M288" s="214">
        <v>1.6412411493180241</v>
      </c>
      <c r="N288" s="214">
        <v>6.82385369584666</v>
      </c>
      <c r="P288" s="226">
        <f t="shared" si="30"/>
        <v>4.9833950143701395</v>
      </c>
      <c r="Q288" s="226">
        <f t="shared" si="31"/>
        <v>7.390206565893024</v>
      </c>
      <c r="R288" s="144"/>
    </row>
    <row r="289" spans="2:18">
      <c r="B289" s="142">
        <f t="shared" si="27"/>
        <v>2045</v>
      </c>
      <c r="C289" s="19">
        <f t="shared" si="28"/>
        <v>6</v>
      </c>
      <c r="D289" s="143">
        <v>53114</v>
      </c>
      <c r="E289" s="19" t="str">
        <f t="shared" si="29"/>
        <v>6-2045</v>
      </c>
      <c r="F289" s="214">
        <v>4.8913624553839146</v>
      </c>
      <c r="G289" s="214">
        <v>2.1038585245552777</v>
      </c>
      <c r="H289" s="214">
        <v>6.9952209799391927</v>
      </c>
      <c r="I289" s="214">
        <v>5.1285964384503391</v>
      </c>
      <c r="J289" s="214">
        <v>3.4753349806953504</v>
      </c>
      <c r="K289" s="214">
        <v>8.6039314191456899</v>
      </c>
      <c r="L289" s="214">
        <v>5.3165024696799721</v>
      </c>
      <c r="M289" s="214">
        <v>1.6412411493180241</v>
      </c>
      <c r="N289" s="214">
        <v>6.9577436189979966</v>
      </c>
      <c r="P289" s="226">
        <f t="shared" si="30"/>
        <v>5.1121537878380749</v>
      </c>
      <c r="Q289" s="226">
        <f t="shared" si="31"/>
        <v>7.5189653393609603</v>
      </c>
      <c r="R289" s="144"/>
    </row>
    <row r="290" spans="2:18">
      <c r="B290" s="142">
        <f t="shared" si="27"/>
        <v>2045</v>
      </c>
      <c r="C290" s="19">
        <f t="shared" si="28"/>
        <v>7</v>
      </c>
      <c r="D290" s="143">
        <v>53144</v>
      </c>
      <c r="E290" s="19" t="str">
        <f t="shared" si="29"/>
        <v>7-2045</v>
      </c>
      <c r="F290" s="214">
        <v>4.9301325488928063</v>
      </c>
      <c r="G290" s="214">
        <v>2.1038585245552777</v>
      </c>
      <c r="H290" s="214">
        <v>7.0339910734480835</v>
      </c>
      <c r="I290" s="214">
        <v>5.1691930482495083</v>
      </c>
      <c r="J290" s="214">
        <v>3.4753349806953504</v>
      </c>
      <c r="K290" s="214">
        <v>8.6445280289448583</v>
      </c>
      <c r="L290" s="214">
        <v>5.3585888370152084</v>
      </c>
      <c r="M290" s="214">
        <v>1.6412411493180241</v>
      </c>
      <c r="N290" s="214">
        <v>6.9998299863332321</v>
      </c>
      <c r="P290" s="226">
        <f t="shared" si="30"/>
        <v>5.152638144719174</v>
      </c>
      <c r="Q290" s="226">
        <f t="shared" si="31"/>
        <v>7.5594496962420576</v>
      </c>
      <c r="R290" s="144"/>
    </row>
    <row r="291" spans="2:18">
      <c r="B291" s="142">
        <f t="shared" si="27"/>
        <v>2045</v>
      </c>
      <c r="C291" s="19">
        <f t="shared" si="28"/>
        <v>8</v>
      </c>
      <c r="D291" s="143">
        <v>53175</v>
      </c>
      <c r="E291" s="19" t="str">
        <f t="shared" si="29"/>
        <v>8-2045</v>
      </c>
      <c r="F291" s="214">
        <v>4.8920168951434411</v>
      </c>
      <c r="G291" s="214">
        <v>2.1038585245552777</v>
      </c>
      <c r="H291" s="214">
        <v>6.9958754196987183</v>
      </c>
      <c r="I291" s="214">
        <v>5.1291757339152255</v>
      </c>
      <c r="J291" s="214">
        <v>3.4753349806953504</v>
      </c>
      <c r="K291" s="214">
        <v>8.6045107146105764</v>
      </c>
      <c r="L291" s="214">
        <v>5.3171076402928774</v>
      </c>
      <c r="M291" s="214">
        <v>1.6412411493180241</v>
      </c>
      <c r="N291" s="214">
        <v>6.958348789610902</v>
      </c>
      <c r="P291" s="226">
        <f t="shared" si="30"/>
        <v>5.1127667564505153</v>
      </c>
      <c r="Q291" s="226">
        <f t="shared" si="31"/>
        <v>7.5195783079733998</v>
      </c>
      <c r="R291" s="144"/>
    </row>
    <row r="292" spans="2:18">
      <c r="B292" s="142">
        <f t="shared" si="27"/>
        <v>2045</v>
      </c>
      <c r="C292" s="19">
        <f t="shared" si="28"/>
        <v>9</v>
      </c>
      <c r="D292" s="143">
        <v>53206</v>
      </c>
      <c r="E292" s="19" t="str">
        <f t="shared" si="29"/>
        <v>9-2045</v>
      </c>
      <c r="F292" s="214">
        <v>4.9607920538781567</v>
      </c>
      <c r="G292" s="214">
        <v>2.1038585245552777</v>
      </c>
      <c r="H292" s="214">
        <v>7.0646505784334348</v>
      </c>
      <c r="I292" s="214">
        <v>5.2012308242304961</v>
      </c>
      <c r="J292" s="214">
        <v>3.4753349806953504</v>
      </c>
      <c r="K292" s="214">
        <v>8.6765658049258469</v>
      </c>
      <c r="L292" s="214">
        <v>5.3918051720594979</v>
      </c>
      <c r="M292" s="214">
        <v>1.6412411493180241</v>
      </c>
      <c r="N292" s="214">
        <v>7.0330463213775225</v>
      </c>
      <c r="P292" s="226">
        <f t="shared" si="30"/>
        <v>5.1846093500560499</v>
      </c>
      <c r="Q292" s="226">
        <f t="shared" si="31"/>
        <v>7.5914209015789353</v>
      </c>
      <c r="R292" s="144"/>
    </row>
    <row r="293" spans="2:18">
      <c r="B293" s="142">
        <f t="shared" si="27"/>
        <v>2045</v>
      </c>
      <c r="C293" s="19">
        <f t="shared" si="28"/>
        <v>10</v>
      </c>
      <c r="D293" s="143">
        <v>53236</v>
      </c>
      <c r="E293" s="19" t="str">
        <f t="shared" si="29"/>
        <v>10-2045</v>
      </c>
      <c r="F293" s="214">
        <v>4.9321703247178288</v>
      </c>
      <c r="G293" s="214">
        <v>2.1038585245552777</v>
      </c>
      <c r="H293" s="214">
        <v>7.0360288492731069</v>
      </c>
      <c r="I293" s="214">
        <v>5.171167967945224</v>
      </c>
      <c r="J293" s="214">
        <v>3.4753349806953504</v>
      </c>
      <c r="K293" s="214">
        <v>8.646502948640574</v>
      </c>
      <c r="L293" s="214">
        <v>5.360643150429965</v>
      </c>
      <c r="M293" s="214">
        <v>1.6412411493180241</v>
      </c>
      <c r="N293" s="214">
        <v>7.0018842997479886</v>
      </c>
      <c r="P293" s="226">
        <f t="shared" si="30"/>
        <v>5.1546604810310059</v>
      </c>
      <c r="Q293" s="226">
        <f t="shared" si="31"/>
        <v>7.5614720325538896</v>
      </c>
      <c r="R293" s="144"/>
    </row>
    <row r="294" spans="2:18">
      <c r="B294" s="142">
        <f t="shared" si="27"/>
        <v>2045</v>
      </c>
      <c r="C294" s="19">
        <f t="shared" si="28"/>
        <v>11</v>
      </c>
      <c r="D294" s="143">
        <v>53267</v>
      </c>
      <c r="E294" s="19" t="str">
        <f t="shared" si="29"/>
        <v>11-2045</v>
      </c>
      <c r="F294" s="214">
        <v>5.1759150642795708</v>
      </c>
      <c r="G294" s="214">
        <v>2.1038585245552777</v>
      </c>
      <c r="H294" s="214">
        <v>7.279773588834848</v>
      </c>
      <c r="I294" s="214">
        <v>5.4266672566501635</v>
      </c>
      <c r="J294" s="214">
        <v>3.4753349806953504</v>
      </c>
      <c r="K294" s="214">
        <v>8.9020022373455134</v>
      </c>
      <c r="L294" s="214">
        <v>5.6255065714466452</v>
      </c>
      <c r="M294" s="214">
        <v>1.6412411493180241</v>
      </c>
      <c r="N294" s="214">
        <v>7.2667477207646698</v>
      </c>
      <c r="P294" s="226">
        <f t="shared" si="30"/>
        <v>5.4093629641254601</v>
      </c>
      <c r="Q294" s="226">
        <f t="shared" si="31"/>
        <v>7.8161745156483446</v>
      </c>
      <c r="R294" s="144"/>
    </row>
    <row r="295" spans="2:18">
      <c r="B295" s="142">
        <f t="shared" si="27"/>
        <v>2045</v>
      </c>
      <c r="C295" s="19">
        <f t="shared" si="28"/>
        <v>12</v>
      </c>
      <c r="D295" s="143">
        <v>53297</v>
      </c>
      <c r="E295" s="19" t="str">
        <f t="shared" si="29"/>
        <v>12-2045</v>
      </c>
      <c r="F295" s="214">
        <v>5.2175102309151367</v>
      </c>
      <c r="G295" s="214">
        <v>2.1038585245552777</v>
      </c>
      <c r="H295" s="214">
        <v>7.3213687554704148</v>
      </c>
      <c r="I295" s="214">
        <v>5.4702205177691052</v>
      </c>
      <c r="J295" s="214">
        <v>3.4753349806953504</v>
      </c>
      <c r="K295" s="214">
        <v>8.9455554984644561</v>
      </c>
      <c r="L295" s="214">
        <v>5.6706581551616129</v>
      </c>
      <c r="M295" s="214">
        <v>1.6412411493180241</v>
      </c>
      <c r="N295" s="214">
        <v>7.3118993044796365</v>
      </c>
      <c r="P295" s="226">
        <f t="shared" si="30"/>
        <v>5.4527963012819525</v>
      </c>
      <c r="Q295" s="226">
        <f t="shared" si="31"/>
        <v>7.8596078528048352</v>
      </c>
      <c r="R295" s="144"/>
    </row>
    <row r="296" spans="2:18">
      <c r="B296" s="142">
        <f t="shared" si="27"/>
        <v>2046</v>
      </c>
      <c r="C296" s="19">
        <f t="shared" si="28"/>
        <v>1</v>
      </c>
      <c r="D296" s="143">
        <v>53328</v>
      </c>
      <c r="E296" s="19" t="str">
        <f t="shared" si="29"/>
        <v>1-2046</v>
      </c>
      <c r="F296" s="214">
        <v>5.2177799210499121</v>
      </c>
      <c r="G296" s="214">
        <v>2.1877283945593935</v>
      </c>
      <c r="H296" s="214">
        <v>7.4055083156093051</v>
      </c>
      <c r="I296" s="214">
        <v>5.470447662514462</v>
      </c>
      <c r="J296" s="214">
        <v>3.6143483799231637</v>
      </c>
      <c r="K296" s="214">
        <v>9.0847960424376257</v>
      </c>
      <c r="L296" s="214">
        <v>5.6708956146542118</v>
      </c>
      <c r="M296" s="214">
        <v>1.7068907952907455</v>
      </c>
      <c r="N296" s="214">
        <v>7.3777864099449575</v>
      </c>
      <c r="P296" s="226">
        <f t="shared" si="30"/>
        <v>5.4530410660728608</v>
      </c>
      <c r="Q296" s="226">
        <f t="shared" si="31"/>
        <v>7.9560302559972955</v>
      </c>
      <c r="R296" s="144"/>
    </row>
    <row r="297" spans="2:18">
      <c r="B297" s="142">
        <f t="shared" si="27"/>
        <v>2046</v>
      </c>
      <c r="C297" s="19">
        <f t="shared" si="28"/>
        <v>2</v>
      </c>
      <c r="D297" s="143">
        <v>53359</v>
      </c>
      <c r="E297" s="19" t="str">
        <f t="shared" si="29"/>
        <v>2-2046</v>
      </c>
      <c r="F297" s="214">
        <v>5.1033455521170303</v>
      </c>
      <c r="G297" s="214">
        <v>2.1877283945593935</v>
      </c>
      <c r="H297" s="214">
        <v>7.2910739466764234</v>
      </c>
      <c r="I297" s="214">
        <v>5.3504174870368235</v>
      </c>
      <c r="J297" s="214">
        <v>3.6143483799231637</v>
      </c>
      <c r="K297" s="214">
        <v>8.9647658669599863</v>
      </c>
      <c r="L297" s="214">
        <v>5.5464692460050209</v>
      </c>
      <c r="M297" s="214">
        <v>1.7068907952907455</v>
      </c>
      <c r="N297" s="214">
        <v>7.2533600412957666</v>
      </c>
      <c r="P297" s="226">
        <f t="shared" si="30"/>
        <v>5.333410761719624</v>
      </c>
      <c r="Q297" s="226">
        <f t="shared" si="31"/>
        <v>7.8363999516440588</v>
      </c>
      <c r="R297" s="144"/>
    </row>
    <row r="298" spans="2:18">
      <c r="B298" s="142">
        <f t="shared" si="27"/>
        <v>2046</v>
      </c>
      <c r="C298" s="19">
        <f t="shared" si="28"/>
        <v>3</v>
      </c>
      <c r="D298" s="143">
        <v>53387</v>
      </c>
      <c r="E298" s="19" t="str">
        <f t="shared" si="29"/>
        <v>3-2046</v>
      </c>
      <c r="F298" s="214">
        <v>4.6848530033833979</v>
      </c>
      <c r="G298" s="214">
        <v>2.1877283945593935</v>
      </c>
      <c r="H298" s="214">
        <v>6.8725813979427919</v>
      </c>
      <c r="I298" s="214">
        <v>4.9116142199564399</v>
      </c>
      <c r="J298" s="214">
        <v>3.6143483799231637</v>
      </c>
      <c r="K298" s="214">
        <v>8.5259625998796036</v>
      </c>
      <c r="L298" s="214">
        <v>5.0915889939007917</v>
      </c>
      <c r="M298" s="214">
        <v>1.7068907952907455</v>
      </c>
      <c r="N298" s="214">
        <v>6.7984797891915374</v>
      </c>
      <c r="P298" s="226">
        <f t="shared" si="30"/>
        <v>4.8960187390802092</v>
      </c>
      <c r="Q298" s="226">
        <f t="shared" si="31"/>
        <v>7.399007929004644</v>
      </c>
      <c r="R298" s="144"/>
    </row>
    <row r="299" spans="2:18">
      <c r="B299" s="142">
        <f t="shared" si="27"/>
        <v>2046</v>
      </c>
      <c r="C299" s="19">
        <f t="shared" si="28"/>
        <v>4</v>
      </c>
      <c r="D299" s="143">
        <v>53418</v>
      </c>
      <c r="E299" s="19" t="str">
        <f t="shared" si="29"/>
        <v>4-2046</v>
      </c>
      <c r="F299" s="214">
        <v>4.6051068141997344</v>
      </c>
      <c r="G299" s="214">
        <v>2.1877283945593935</v>
      </c>
      <c r="H299" s="214">
        <v>6.7928352087591275</v>
      </c>
      <c r="I299" s="214">
        <v>4.8279589786653601</v>
      </c>
      <c r="J299" s="214">
        <v>3.6143483799231637</v>
      </c>
      <c r="K299" s="214">
        <v>8.4423073585885238</v>
      </c>
      <c r="L299" s="214">
        <v>5.004870157738539</v>
      </c>
      <c r="M299" s="214">
        <v>1.7068907952907455</v>
      </c>
      <c r="N299" s="214">
        <v>6.7117609530292848</v>
      </c>
      <c r="P299" s="226">
        <f t="shared" si="30"/>
        <v>4.8126453168678776</v>
      </c>
      <c r="Q299" s="226">
        <f t="shared" si="31"/>
        <v>7.3156345067923114</v>
      </c>
      <c r="R299" s="144"/>
    </row>
    <row r="300" spans="2:18">
      <c r="B300" s="142">
        <f t="shared" si="27"/>
        <v>2046</v>
      </c>
      <c r="C300" s="19">
        <f t="shared" si="28"/>
        <v>5</v>
      </c>
      <c r="D300" s="143">
        <v>53448</v>
      </c>
      <c r="E300" s="19" t="str">
        <f t="shared" si="29"/>
        <v>5-2046</v>
      </c>
      <c r="F300" s="214">
        <v>4.7653457258698442</v>
      </c>
      <c r="G300" s="214">
        <v>2.1877283945593935</v>
      </c>
      <c r="H300" s="214">
        <v>6.9530741204292372</v>
      </c>
      <c r="I300" s="214">
        <v>4.9959014298752678</v>
      </c>
      <c r="J300" s="214">
        <v>3.6143483799231637</v>
      </c>
      <c r="K300" s="214">
        <v>8.6102498097984324</v>
      </c>
      <c r="L300" s="214">
        <v>5.1789683537353017</v>
      </c>
      <c r="M300" s="214">
        <v>1.7068907952907455</v>
      </c>
      <c r="N300" s="214">
        <v>6.8858591490260475</v>
      </c>
      <c r="P300" s="226">
        <f t="shared" si="30"/>
        <v>4.9800718364934715</v>
      </c>
      <c r="Q300" s="226">
        <f t="shared" si="31"/>
        <v>7.4830610264179063</v>
      </c>
      <c r="R300" s="144"/>
    </row>
    <row r="301" spans="2:18">
      <c r="B301" s="142">
        <f t="shared" si="27"/>
        <v>2046</v>
      </c>
      <c r="C301" s="19">
        <f t="shared" si="28"/>
        <v>6</v>
      </c>
      <c r="D301" s="143">
        <v>53479</v>
      </c>
      <c r="E301" s="19" t="str">
        <f t="shared" si="29"/>
        <v>6-2046</v>
      </c>
      <c r="F301" s="214">
        <v>4.888507162141206</v>
      </c>
      <c r="G301" s="214">
        <v>2.1877283945593935</v>
      </c>
      <c r="H301" s="214">
        <v>7.076235556700599</v>
      </c>
      <c r="I301" s="214">
        <v>5.1249695065021612</v>
      </c>
      <c r="J301" s="214">
        <v>3.6143483799231637</v>
      </c>
      <c r="K301" s="214">
        <v>8.7393178864253258</v>
      </c>
      <c r="L301" s="214">
        <v>5.3127677934515756</v>
      </c>
      <c r="M301" s="214">
        <v>1.7068907952907455</v>
      </c>
      <c r="N301" s="214">
        <v>7.0196585887423213</v>
      </c>
      <c r="P301" s="226">
        <f t="shared" si="30"/>
        <v>5.1087481540316473</v>
      </c>
      <c r="Q301" s="226">
        <f t="shared" si="31"/>
        <v>7.611737343956082</v>
      </c>
      <c r="R301" s="144"/>
    </row>
    <row r="302" spans="2:18">
      <c r="B302" s="142">
        <f t="shared" si="27"/>
        <v>2046</v>
      </c>
      <c r="C302" s="19">
        <f t="shared" si="28"/>
        <v>7</v>
      </c>
      <c r="D302" s="143">
        <v>53509</v>
      </c>
      <c r="E302" s="19" t="str">
        <f t="shared" si="29"/>
        <v>7-2046</v>
      </c>
      <c r="F302" s="214">
        <v>4.9272572264047572</v>
      </c>
      <c r="G302" s="214">
        <v>2.1877283945593935</v>
      </c>
      <c r="H302" s="214">
        <v>7.1149856209641502</v>
      </c>
      <c r="I302" s="214">
        <v>5.1655414108811177</v>
      </c>
      <c r="J302" s="214">
        <v>3.6143483799231637</v>
      </c>
      <c r="K302" s="214">
        <v>8.7798897908042814</v>
      </c>
      <c r="L302" s="214">
        <v>5.3548282881261553</v>
      </c>
      <c r="M302" s="214">
        <v>1.7068907952907455</v>
      </c>
      <c r="N302" s="214">
        <v>7.061719083416901</v>
      </c>
      <c r="P302" s="226">
        <f t="shared" si="30"/>
        <v>5.1492089751373431</v>
      </c>
      <c r="Q302" s="226">
        <f t="shared" si="31"/>
        <v>7.652198165061777</v>
      </c>
      <c r="R302" s="144"/>
    </row>
    <row r="303" spans="2:18">
      <c r="B303" s="142">
        <f t="shared" si="27"/>
        <v>2046</v>
      </c>
      <c r="C303" s="19">
        <f t="shared" si="28"/>
        <v>8</v>
      </c>
      <c r="D303" s="143">
        <v>53540</v>
      </c>
      <c r="E303" s="19" t="str">
        <f t="shared" si="29"/>
        <v>8-2046</v>
      </c>
      <c r="F303" s="214">
        <v>4.8891663848549678</v>
      </c>
      <c r="G303" s="214">
        <v>2.1877283945593935</v>
      </c>
      <c r="H303" s="214">
        <v>7.0768947794143617</v>
      </c>
      <c r="I303" s="214">
        <v>5.1255563395850592</v>
      </c>
      <c r="J303" s="214">
        <v>3.6143483799231637</v>
      </c>
      <c r="K303" s="214">
        <v>8.7399047195082229</v>
      </c>
      <c r="L303" s="214">
        <v>5.3133798656120712</v>
      </c>
      <c r="M303" s="214">
        <v>1.7068907952907455</v>
      </c>
      <c r="N303" s="214">
        <v>7.0202706609028169</v>
      </c>
      <c r="P303" s="226">
        <f t="shared" si="30"/>
        <v>5.1093675300173658</v>
      </c>
      <c r="Q303" s="226">
        <f t="shared" si="31"/>
        <v>7.6123567199418005</v>
      </c>
      <c r="R303" s="144"/>
    </row>
    <row r="304" spans="2:18">
      <c r="B304" s="142">
        <f t="shared" si="27"/>
        <v>2046</v>
      </c>
      <c r="C304" s="19">
        <f t="shared" si="28"/>
        <v>9</v>
      </c>
      <c r="D304" s="143">
        <v>53571</v>
      </c>
      <c r="E304" s="19" t="str">
        <f t="shared" si="29"/>
        <v>9-2046</v>
      </c>
      <c r="F304" s="214">
        <v>4.957904088439868</v>
      </c>
      <c r="G304" s="214">
        <v>2.1877283945593935</v>
      </c>
      <c r="H304" s="214">
        <v>7.145632482999261</v>
      </c>
      <c r="I304" s="214">
        <v>5.1975646145324665</v>
      </c>
      <c r="J304" s="214">
        <v>3.6143483799231637</v>
      </c>
      <c r="K304" s="214">
        <v>8.8119129944556303</v>
      </c>
      <c r="L304" s="214">
        <v>5.3880287430858207</v>
      </c>
      <c r="M304" s="214">
        <v>1.7068907952907455</v>
      </c>
      <c r="N304" s="214">
        <v>7.0949195383765664</v>
      </c>
      <c r="P304" s="226">
        <f t="shared" si="30"/>
        <v>5.1811658153527187</v>
      </c>
      <c r="Q304" s="226">
        <f t="shared" si="31"/>
        <v>7.6841550052771526</v>
      </c>
      <c r="R304" s="144"/>
    </row>
    <row r="305" spans="2:18">
      <c r="B305" s="142">
        <f t="shared" si="27"/>
        <v>2046</v>
      </c>
      <c r="C305" s="19">
        <f t="shared" si="28"/>
        <v>10</v>
      </c>
      <c r="D305" s="143">
        <v>53601</v>
      </c>
      <c r="E305" s="19" t="str">
        <f t="shared" si="29"/>
        <v>10-2046</v>
      </c>
      <c r="F305" s="214">
        <v>4.9293016259750022</v>
      </c>
      <c r="G305" s="214">
        <v>2.1877283945593935</v>
      </c>
      <c r="H305" s="214">
        <v>7.1170300205343953</v>
      </c>
      <c r="I305" s="214">
        <v>5.1675269561256956</v>
      </c>
      <c r="J305" s="214">
        <v>3.6143483799231637</v>
      </c>
      <c r="K305" s="214">
        <v>8.7818753360488593</v>
      </c>
      <c r="L305" s="214">
        <v>5.3568922417993443</v>
      </c>
      <c r="M305" s="214">
        <v>1.7068907952907455</v>
      </c>
      <c r="N305" s="214">
        <v>7.06378303709009</v>
      </c>
      <c r="P305" s="226">
        <f t="shared" si="30"/>
        <v>5.1512402746333477</v>
      </c>
      <c r="Q305" s="226">
        <f t="shared" si="31"/>
        <v>7.6542294645577824</v>
      </c>
      <c r="R305" s="144"/>
    </row>
    <row r="306" spans="2:18">
      <c r="B306" s="142">
        <f t="shared" si="27"/>
        <v>2046</v>
      </c>
      <c r="C306" s="19">
        <f t="shared" si="28"/>
        <v>11</v>
      </c>
      <c r="D306" s="143">
        <v>53632</v>
      </c>
      <c r="E306" s="19" t="str">
        <f t="shared" si="29"/>
        <v>11-2046</v>
      </c>
      <c r="F306" s="214">
        <v>5.1729073295528778</v>
      </c>
      <c r="G306" s="214">
        <v>2.1877283945593935</v>
      </c>
      <c r="H306" s="214">
        <v>7.3606357241122709</v>
      </c>
      <c r="I306" s="214">
        <v>5.4228505540195693</v>
      </c>
      <c r="J306" s="214">
        <v>3.6143483799231637</v>
      </c>
      <c r="K306" s="214">
        <v>9.037198933942733</v>
      </c>
      <c r="L306" s="214">
        <v>5.6215742119957506</v>
      </c>
      <c r="M306" s="214">
        <v>1.7068907952907455</v>
      </c>
      <c r="N306" s="214">
        <v>7.3284650072864963</v>
      </c>
      <c r="P306" s="226">
        <f t="shared" si="30"/>
        <v>5.4057773651893983</v>
      </c>
      <c r="Q306" s="226">
        <f t="shared" si="31"/>
        <v>7.9087665551138331</v>
      </c>
      <c r="R306" s="144"/>
    </row>
    <row r="307" spans="2:18">
      <c r="B307" s="142">
        <f t="shared" si="27"/>
        <v>2046</v>
      </c>
      <c r="C307" s="19">
        <f t="shared" si="28"/>
        <v>12</v>
      </c>
      <c r="D307" s="143">
        <v>53662</v>
      </c>
      <c r="E307" s="19" t="str">
        <f t="shared" si="29"/>
        <v>12-2046</v>
      </c>
      <c r="F307" s="214">
        <v>5.2144810806826403</v>
      </c>
      <c r="G307" s="214">
        <v>2.1877283945593935</v>
      </c>
      <c r="H307" s="214">
        <v>7.4022094752420333</v>
      </c>
      <c r="I307" s="214">
        <v>5.4663774232302451</v>
      </c>
      <c r="J307" s="214">
        <v>3.6143483799231637</v>
      </c>
      <c r="K307" s="214">
        <v>9.0807258031534097</v>
      </c>
      <c r="L307" s="214">
        <v>5.6666981426959326</v>
      </c>
      <c r="M307" s="214">
        <v>1.7068907952907455</v>
      </c>
      <c r="N307" s="214">
        <v>7.3735889379866784</v>
      </c>
      <c r="P307" s="226">
        <f t="shared" si="30"/>
        <v>5.4491855488696066</v>
      </c>
      <c r="Q307" s="226">
        <f t="shared" si="31"/>
        <v>7.9521747387940414</v>
      </c>
      <c r="R307" s="144"/>
    </row>
    <row r="308" spans="2:18">
      <c r="B308" s="142">
        <f t="shared" si="27"/>
        <v>2047</v>
      </c>
      <c r="C308" s="19">
        <f t="shared" si="28"/>
        <v>1</v>
      </c>
      <c r="D308" s="143">
        <v>53693</v>
      </c>
      <c r="E308" s="19" t="str">
        <f t="shared" si="29"/>
        <v>1-2047</v>
      </c>
      <c r="F308" s="214">
        <v>5.2147704597871378</v>
      </c>
      <c r="G308" s="214">
        <v>2.2749417652120383</v>
      </c>
      <c r="H308" s="214">
        <v>7.4897122249991757</v>
      </c>
      <c r="I308" s="214">
        <v>5.4666286863340092</v>
      </c>
      <c r="J308" s="214">
        <v>3.758922315120091</v>
      </c>
      <c r="K308" s="214">
        <v>9.2255510014541002</v>
      </c>
      <c r="L308" s="214">
        <v>5.6669610105126811</v>
      </c>
      <c r="M308" s="214">
        <v>1.7751664271023753</v>
      </c>
      <c r="N308" s="214">
        <v>7.4421274376150564</v>
      </c>
      <c r="P308" s="226">
        <f t="shared" si="30"/>
        <v>5.4494533855446106</v>
      </c>
      <c r="Q308" s="226">
        <f t="shared" si="31"/>
        <v>8.0524635546894441</v>
      </c>
      <c r="R308" s="144"/>
    </row>
    <row r="309" spans="2:18">
      <c r="B309" s="142">
        <f t="shared" si="27"/>
        <v>2047</v>
      </c>
      <c r="C309" s="19">
        <f t="shared" si="28"/>
        <v>2</v>
      </c>
      <c r="D309" s="143">
        <v>53724</v>
      </c>
      <c r="E309" s="19" t="str">
        <f t="shared" si="29"/>
        <v>2-2047</v>
      </c>
      <c r="F309" s="214">
        <v>5.100421505394678</v>
      </c>
      <c r="G309" s="214">
        <v>2.2749417652120383</v>
      </c>
      <c r="H309" s="214">
        <v>7.3753632706067158</v>
      </c>
      <c r="I309" s="214">
        <v>5.3467060531885746</v>
      </c>
      <c r="J309" s="214">
        <v>3.758922315120091</v>
      </c>
      <c r="K309" s="214">
        <v>9.1056283683086647</v>
      </c>
      <c r="L309" s="214">
        <v>5.5426459878124987</v>
      </c>
      <c r="M309" s="214">
        <v>1.7751664271023753</v>
      </c>
      <c r="N309" s="214">
        <v>7.317812414914874</v>
      </c>
      <c r="P309" s="226">
        <f t="shared" si="30"/>
        <v>5.3299245154652501</v>
      </c>
      <c r="Q309" s="226">
        <f t="shared" si="31"/>
        <v>7.9329346846100846</v>
      </c>
      <c r="R309" s="144"/>
    </row>
    <row r="310" spans="2:18">
      <c r="B310" s="142">
        <f t="shared" si="27"/>
        <v>2047</v>
      </c>
      <c r="C310" s="19">
        <f t="shared" si="28"/>
        <v>3</v>
      </c>
      <c r="D310" s="143">
        <v>53752</v>
      </c>
      <c r="E310" s="19" t="str">
        <f t="shared" si="29"/>
        <v>3-2047</v>
      </c>
      <c r="F310" s="214">
        <v>4.6821865609628608</v>
      </c>
      <c r="G310" s="214">
        <v>2.2749417652120383</v>
      </c>
      <c r="H310" s="214">
        <v>6.9571283261748995</v>
      </c>
      <c r="I310" s="214">
        <v>4.9082289745021948</v>
      </c>
      <c r="J310" s="214">
        <v>3.758922315120091</v>
      </c>
      <c r="K310" s="214">
        <v>8.6671512896222858</v>
      </c>
      <c r="L310" s="214">
        <v>5.0881022579618662</v>
      </c>
      <c r="M310" s="214">
        <v>1.7751664271023753</v>
      </c>
      <c r="N310" s="214">
        <v>6.8632686850642415</v>
      </c>
      <c r="P310" s="226">
        <f t="shared" si="30"/>
        <v>4.8928392644756409</v>
      </c>
      <c r="Q310" s="226">
        <f t="shared" si="31"/>
        <v>7.4958494336204753</v>
      </c>
      <c r="R310" s="144"/>
    </row>
    <row r="311" spans="2:18">
      <c r="B311" s="142">
        <f t="shared" si="27"/>
        <v>2047</v>
      </c>
      <c r="C311" s="19">
        <f t="shared" si="28"/>
        <v>4</v>
      </c>
      <c r="D311" s="143">
        <v>53783</v>
      </c>
      <c r="E311" s="19" t="str">
        <f t="shared" si="29"/>
        <v>4-2047</v>
      </c>
      <c r="F311" s="214">
        <v>4.6025032806770456</v>
      </c>
      <c r="G311" s="214">
        <v>2.2749417652120383</v>
      </c>
      <c r="H311" s="214">
        <v>6.8774450458890843</v>
      </c>
      <c r="I311" s="214">
        <v>4.8246528252362744</v>
      </c>
      <c r="J311" s="214">
        <v>3.758922315120091</v>
      </c>
      <c r="K311" s="214">
        <v>8.5835751403563663</v>
      </c>
      <c r="L311" s="214">
        <v>5.0014653855728062</v>
      </c>
      <c r="M311" s="214">
        <v>1.7751664271023753</v>
      </c>
      <c r="N311" s="214">
        <v>6.7766318126751814</v>
      </c>
      <c r="P311" s="226">
        <f t="shared" si="30"/>
        <v>4.8095404971620423</v>
      </c>
      <c r="Q311" s="226">
        <f t="shared" si="31"/>
        <v>7.4125506663068776</v>
      </c>
      <c r="R311" s="144"/>
    </row>
    <row r="312" spans="2:18">
      <c r="B312" s="142">
        <f t="shared" ref="B312:B375" si="32">YEAR(D312)</f>
        <v>2047</v>
      </c>
      <c r="C312" s="19">
        <f t="shared" ref="C312:C375" si="33">MONTH(D312)</f>
        <v>5</v>
      </c>
      <c r="D312" s="143">
        <v>53813</v>
      </c>
      <c r="E312" s="19" t="str">
        <f t="shared" si="29"/>
        <v>5-2047</v>
      </c>
      <c r="F312" s="214">
        <v>4.7626697317654454</v>
      </c>
      <c r="G312" s="214">
        <v>2.2749417652120383</v>
      </c>
      <c r="H312" s="214">
        <v>7.0376114969774832</v>
      </c>
      <c r="I312" s="214">
        <v>4.992502452882257</v>
      </c>
      <c r="J312" s="214">
        <v>3.758922315120091</v>
      </c>
      <c r="K312" s="214">
        <v>8.751424768002348</v>
      </c>
      <c r="L312" s="214">
        <v>5.1754685105666809</v>
      </c>
      <c r="M312" s="214">
        <v>1.7751664271023753</v>
      </c>
      <c r="N312" s="214">
        <v>6.9506349376690562</v>
      </c>
      <c r="P312" s="226">
        <f t="shared" si="30"/>
        <v>4.9768802317381278</v>
      </c>
      <c r="Q312" s="226">
        <f t="shared" si="31"/>
        <v>7.5798904008829622</v>
      </c>
      <c r="R312" s="144"/>
    </row>
    <row r="313" spans="2:18">
      <c r="B313" s="142">
        <f t="shared" si="32"/>
        <v>2047</v>
      </c>
      <c r="C313" s="19">
        <f t="shared" si="33"/>
        <v>6</v>
      </c>
      <c r="D313" s="143">
        <v>53844</v>
      </c>
      <c r="E313" s="19" t="str">
        <f t="shared" si="29"/>
        <v>6-2047</v>
      </c>
      <c r="F313" s="214">
        <v>4.8857806085376083</v>
      </c>
      <c r="G313" s="214">
        <v>2.2749417652120383</v>
      </c>
      <c r="H313" s="214">
        <v>7.1607223737496462</v>
      </c>
      <c r="I313" s="214">
        <v>5.1215054756669423</v>
      </c>
      <c r="J313" s="214">
        <v>3.758922315120091</v>
      </c>
      <c r="K313" s="214">
        <v>8.8804277907870333</v>
      </c>
      <c r="L313" s="214">
        <v>5.3092015043426679</v>
      </c>
      <c r="M313" s="214">
        <v>1.7751664271023753</v>
      </c>
      <c r="N313" s="214">
        <v>7.0843679314450432</v>
      </c>
      <c r="P313" s="226">
        <f t="shared" si="30"/>
        <v>5.1054958628490725</v>
      </c>
      <c r="Q313" s="226">
        <f t="shared" si="31"/>
        <v>7.7085060319939087</v>
      </c>
      <c r="R313" s="144"/>
    </row>
    <row r="314" spans="2:18">
      <c r="B314" s="142">
        <f t="shared" si="32"/>
        <v>2047</v>
      </c>
      <c r="C314" s="19">
        <f t="shared" si="33"/>
        <v>7</v>
      </c>
      <c r="D314" s="143">
        <v>53874</v>
      </c>
      <c r="E314" s="19" t="str">
        <f t="shared" si="29"/>
        <v>7-2047</v>
      </c>
      <c r="F314" s="214">
        <v>4.9245278114847597</v>
      </c>
      <c r="G314" s="214">
        <v>2.2749417652120383</v>
      </c>
      <c r="H314" s="214">
        <v>7.1994695766967975</v>
      </c>
      <c r="I314" s="214">
        <v>5.1620728978637311</v>
      </c>
      <c r="J314" s="214">
        <v>3.758922315120091</v>
      </c>
      <c r="K314" s="214">
        <v>8.9209952129838221</v>
      </c>
      <c r="L314" s="214">
        <v>5.3512579308164741</v>
      </c>
      <c r="M314" s="214">
        <v>1.7751664271023753</v>
      </c>
      <c r="N314" s="214">
        <v>7.1264243579188493</v>
      </c>
      <c r="P314" s="226">
        <f t="shared" si="30"/>
        <v>5.1459528800549883</v>
      </c>
      <c r="Q314" s="226">
        <f t="shared" si="31"/>
        <v>7.7489630491998227</v>
      </c>
      <c r="R314" s="144"/>
    </row>
    <row r="315" spans="2:18">
      <c r="B315" s="142">
        <f t="shared" si="32"/>
        <v>2047</v>
      </c>
      <c r="C315" s="19">
        <f t="shared" si="33"/>
        <v>8</v>
      </c>
      <c r="D315" s="143">
        <v>53905</v>
      </c>
      <c r="E315" s="19" t="str">
        <f t="shared" si="29"/>
        <v>8-2047</v>
      </c>
      <c r="F315" s="214">
        <v>4.8864766783365745</v>
      </c>
      <c r="G315" s="214">
        <v>2.2749417652120383</v>
      </c>
      <c r="H315" s="214">
        <v>7.1614184435486123</v>
      </c>
      <c r="I315" s="214">
        <v>5.1221374413588174</v>
      </c>
      <c r="J315" s="214">
        <v>3.758922315120091</v>
      </c>
      <c r="K315" s="214">
        <v>8.8810597564789084</v>
      </c>
      <c r="L315" s="214">
        <v>5.3098611256249324</v>
      </c>
      <c r="M315" s="214">
        <v>1.7751664271023753</v>
      </c>
      <c r="N315" s="214">
        <v>7.0850275527273077</v>
      </c>
      <c r="P315" s="226">
        <f t="shared" si="30"/>
        <v>5.1061584151067745</v>
      </c>
      <c r="Q315" s="226">
        <f t="shared" si="31"/>
        <v>7.7091685842516098</v>
      </c>
      <c r="R315" s="144"/>
    </row>
    <row r="316" spans="2:18">
      <c r="B316" s="142">
        <f t="shared" si="32"/>
        <v>2047</v>
      </c>
      <c r="C316" s="19">
        <f t="shared" si="33"/>
        <v>9</v>
      </c>
      <c r="D316" s="143">
        <v>53936</v>
      </c>
      <c r="E316" s="19" t="str">
        <f t="shared" si="29"/>
        <v>9-2047</v>
      </c>
      <c r="F316" s="214">
        <v>4.9551954385621979</v>
      </c>
      <c r="G316" s="214">
        <v>2.2749417652120383</v>
      </c>
      <c r="H316" s="214">
        <v>7.2301372037742357</v>
      </c>
      <c r="I316" s="214">
        <v>5.1941207731516492</v>
      </c>
      <c r="J316" s="214">
        <v>3.758922315120091</v>
      </c>
      <c r="K316" s="214">
        <v>8.9530430882717411</v>
      </c>
      <c r="L316" s="214">
        <v>5.3844848886643444</v>
      </c>
      <c r="M316" s="214">
        <v>1.7751664271023753</v>
      </c>
      <c r="N316" s="214">
        <v>7.1596513157667196</v>
      </c>
      <c r="P316" s="226">
        <f t="shared" si="30"/>
        <v>5.1779337001260641</v>
      </c>
      <c r="Q316" s="226">
        <f t="shared" si="31"/>
        <v>7.7809438692708985</v>
      </c>
      <c r="R316" s="144"/>
    </row>
    <row r="317" spans="2:18">
      <c r="B317" s="142">
        <f t="shared" si="32"/>
        <v>2047</v>
      </c>
      <c r="C317" s="19">
        <f t="shared" si="33"/>
        <v>10</v>
      </c>
      <c r="D317" s="143">
        <v>53966</v>
      </c>
      <c r="E317" s="19" t="str">
        <f t="shared" si="29"/>
        <v>10-2047</v>
      </c>
      <c r="F317" s="214">
        <v>4.9266273671412808</v>
      </c>
      <c r="G317" s="214">
        <v>2.2749417652120383</v>
      </c>
      <c r="H317" s="214">
        <v>7.2015691323533186</v>
      </c>
      <c r="I317" s="214">
        <v>5.1641259750812187</v>
      </c>
      <c r="J317" s="214">
        <v>3.758922315120091</v>
      </c>
      <c r="K317" s="214">
        <v>8.9230482902013097</v>
      </c>
      <c r="L317" s="214">
        <v>5.3533930501187186</v>
      </c>
      <c r="M317" s="214">
        <v>1.7751664271023753</v>
      </c>
      <c r="N317" s="214">
        <v>7.1285594772210938</v>
      </c>
      <c r="P317" s="226">
        <f t="shared" si="30"/>
        <v>5.1480487974470721</v>
      </c>
      <c r="Q317" s="226">
        <f t="shared" si="31"/>
        <v>7.7510589665919083</v>
      </c>
      <c r="R317" s="144"/>
    </row>
    <row r="318" spans="2:18">
      <c r="B318" s="142">
        <f t="shared" si="32"/>
        <v>2047</v>
      </c>
      <c r="C318" s="19">
        <f t="shared" si="33"/>
        <v>11</v>
      </c>
      <c r="D318" s="143">
        <v>53997</v>
      </c>
      <c r="E318" s="19" t="str">
        <f t="shared" si="29"/>
        <v>11-2047</v>
      </c>
      <c r="F318" s="214">
        <v>5.1701206029816973</v>
      </c>
      <c r="G318" s="214">
        <v>2.2749417652120383</v>
      </c>
      <c r="H318" s="214">
        <v>7.4450623681937351</v>
      </c>
      <c r="I318" s="214">
        <v>5.4193056279818217</v>
      </c>
      <c r="J318" s="214">
        <v>3.758922315120091</v>
      </c>
      <c r="K318" s="214">
        <v>9.1782279431019127</v>
      </c>
      <c r="L318" s="214">
        <v>5.6179275078676003</v>
      </c>
      <c r="M318" s="214">
        <v>1.7751664271023753</v>
      </c>
      <c r="N318" s="214">
        <v>7.3930939349699756</v>
      </c>
      <c r="P318" s="226">
        <f t="shared" si="30"/>
        <v>5.4024512462770389</v>
      </c>
      <c r="Q318" s="226">
        <f t="shared" si="31"/>
        <v>8.0054614154218751</v>
      </c>
      <c r="R318" s="144"/>
    </row>
    <row r="319" spans="2:18">
      <c r="B319" s="142">
        <f t="shared" si="32"/>
        <v>2047</v>
      </c>
      <c r="C319" s="19">
        <f t="shared" si="33"/>
        <v>12</v>
      </c>
      <c r="D319" s="143">
        <v>54027</v>
      </c>
      <c r="E319" s="19" t="str">
        <f t="shared" si="29"/>
        <v>12-2047</v>
      </c>
      <c r="F319" s="214">
        <v>5.2116918118027282</v>
      </c>
      <c r="G319" s="214">
        <v>2.2749417652120383</v>
      </c>
      <c r="H319" s="214">
        <v>7.4866335770147661</v>
      </c>
      <c r="I319" s="214">
        <v>5.4628283347615856</v>
      </c>
      <c r="J319" s="214">
        <v>3.758922315120091</v>
      </c>
      <c r="K319" s="214">
        <v>9.2217506498816775</v>
      </c>
      <c r="L319" s="214">
        <v>5.6630477547336673</v>
      </c>
      <c r="M319" s="214">
        <v>1.7751664271023753</v>
      </c>
      <c r="N319" s="214">
        <v>7.4382141818360425</v>
      </c>
      <c r="P319" s="226">
        <f t="shared" si="30"/>
        <v>5.4458559670993267</v>
      </c>
      <c r="Q319" s="226">
        <f t="shared" si="31"/>
        <v>8.0488661362441611</v>
      </c>
      <c r="R319" s="144"/>
    </row>
    <row r="320" spans="2:18">
      <c r="B320" s="142">
        <f t="shared" si="32"/>
        <v>2048</v>
      </c>
      <c r="C320" s="19">
        <f t="shared" si="33"/>
        <v>1</v>
      </c>
      <c r="D320" s="143">
        <v>54058</v>
      </c>
      <c r="E320" s="19" t="str">
        <f t="shared" si="29"/>
        <v>1-2048</v>
      </c>
      <c r="F320" s="214">
        <v>5.2120126173746808</v>
      </c>
      <c r="G320" s="214">
        <v>2.3656319281227751</v>
      </c>
      <c r="H320" s="214">
        <v>7.5776445454974564</v>
      </c>
      <c r="I320" s="214">
        <v>5.4630800254171179</v>
      </c>
      <c r="J320" s="214">
        <v>3.9092792077248943</v>
      </c>
      <c r="K320" s="214">
        <v>9.3723592331420118</v>
      </c>
      <c r="L320" s="214">
        <v>5.6633113200038148</v>
      </c>
      <c r="M320" s="214">
        <v>1.8461730841864703</v>
      </c>
      <c r="N320" s="214">
        <v>7.5094844041902853</v>
      </c>
      <c r="P320" s="226">
        <f t="shared" si="30"/>
        <v>5.4461346542652045</v>
      </c>
      <c r="Q320" s="226">
        <f t="shared" si="31"/>
        <v>8.153162727609919</v>
      </c>
      <c r="R320" s="144"/>
    </row>
    <row r="321" spans="2:18">
      <c r="B321" s="142">
        <f t="shared" si="32"/>
        <v>2048</v>
      </c>
      <c r="C321" s="19">
        <f t="shared" si="33"/>
        <v>2</v>
      </c>
      <c r="D321" s="143">
        <v>54089</v>
      </c>
      <c r="E321" s="19" t="str">
        <f t="shared" si="29"/>
        <v>2-2048</v>
      </c>
      <c r="F321" s="214">
        <v>5.0977550281712851</v>
      </c>
      <c r="G321" s="214">
        <v>2.3656319281227751</v>
      </c>
      <c r="H321" s="214">
        <v>7.4633869562940607</v>
      </c>
      <c r="I321" s="214">
        <v>5.3432358178157902</v>
      </c>
      <c r="J321" s="214">
        <v>3.9092792077248943</v>
      </c>
      <c r="K321" s="214">
        <v>9.2525150255406849</v>
      </c>
      <c r="L321" s="214">
        <v>5.5390772077199779</v>
      </c>
      <c r="M321" s="214">
        <v>1.8461730841864703</v>
      </c>
      <c r="N321" s="214">
        <v>7.3852502919064484</v>
      </c>
      <c r="P321" s="226">
        <f t="shared" si="30"/>
        <v>5.326689351235685</v>
      </c>
      <c r="Q321" s="226">
        <f t="shared" si="31"/>
        <v>8.0337174245803986</v>
      </c>
      <c r="R321" s="144"/>
    </row>
    <row r="322" spans="2:18">
      <c r="B322" s="142">
        <f t="shared" si="32"/>
        <v>2048</v>
      </c>
      <c r="C322" s="19">
        <f t="shared" si="33"/>
        <v>3</v>
      </c>
      <c r="D322" s="143">
        <v>54118</v>
      </c>
      <c r="E322" s="19" t="str">
        <f t="shared" si="29"/>
        <v>3-2048</v>
      </c>
      <c r="F322" s="214">
        <v>4.6797670959961337</v>
      </c>
      <c r="G322" s="214">
        <v>2.3656319281227751</v>
      </c>
      <c r="H322" s="214">
        <v>7.0453990241189093</v>
      </c>
      <c r="I322" s="214">
        <v>4.9050438595175523</v>
      </c>
      <c r="J322" s="214">
        <v>3.9092792077248943</v>
      </c>
      <c r="K322" s="214">
        <v>8.8143230672424462</v>
      </c>
      <c r="L322" s="214">
        <v>5.0848269263601003</v>
      </c>
      <c r="M322" s="214">
        <v>1.8461730841864703</v>
      </c>
      <c r="N322" s="214">
        <v>6.9310000105465708</v>
      </c>
      <c r="P322" s="226">
        <f t="shared" si="30"/>
        <v>4.8898792939579288</v>
      </c>
      <c r="Q322" s="226">
        <f t="shared" si="31"/>
        <v>7.5969073673026415</v>
      </c>
      <c r="R322" s="144"/>
    </row>
    <row r="323" spans="2:18">
      <c r="B323" s="142">
        <f t="shared" si="32"/>
        <v>2048</v>
      </c>
      <c r="C323" s="19">
        <f t="shared" si="33"/>
        <v>4</v>
      </c>
      <c r="D323" s="143">
        <v>54149</v>
      </c>
      <c r="E323" s="19" t="str">
        <f t="shared" si="29"/>
        <v>4-2048</v>
      </c>
      <c r="F323" s="214">
        <v>4.6001528718641325</v>
      </c>
      <c r="G323" s="214">
        <v>2.3656319281227751</v>
      </c>
      <c r="H323" s="214">
        <v>6.965784799986908</v>
      </c>
      <c r="I323" s="214">
        <v>4.8215224671160231</v>
      </c>
      <c r="J323" s="214">
        <v>3.9092792077248943</v>
      </c>
      <c r="K323" s="214">
        <v>8.730801674840917</v>
      </c>
      <c r="L323" s="214">
        <v>4.9982465894161594</v>
      </c>
      <c r="M323" s="214">
        <v>1.8461730841864703</v>
      </c>
      <c r="N323" s="214">
        <v>6.8444196736026299</v>
      </c>
      <c r="P323" s="226">
        <f t="shared" si="30"/>
        <v>4.8066406427987713</v>
      </c>
      <c r="Q323" s="226">
        <f t="shared" si="31"/>
        <v>7.513668716143485</v>
      </c>
      <c r="R323" s="144"/>
    </row>
    <row r="324" spans="2:18">
      <c r="B324" s="142">
        <f t="shared" si="32"/>
        <v>2048</v>
      </c>
      <c r="C324" s="19">
        <f t="shared" si="33"/>
        <v>5</v>
      </c>
      <c r="D324" s="143">
        <v>54179</v>
      </c>
      <c r="E324" s="19" t="str">
        <f t="shared" si="29"/>
        <v>5-2048</v>
      </c>
      <c r="F324" s="214">
        <v>4.7602663826370488</v>
      </c>
      <c r="G324" s="214">
        <v>2.3656319281227751</v>
      </c>
      <c r="H324" s="214">
        <v>7.1258983107598244</v>
      </c>
      <c r="I324" s="214">
        <v>4.9892637293207134</v>
      </c>
      <c r="J324" s="214">
        <v>3.9092792077248943</v>
      </c>
      <c r="K324" s="214">
        <v>8.8985429370456082</v>
      </c>
      <c r="L324" s="214">
        <v>5.1721385230640342</v>
      </c>
      <c r="M324" s="214">
        <v>1.8461730841864703</v>
      </c>
      <c r="N324" s="214">
        <v>7.0183116072505047</v>
      </c>
      <c r="P324" s="226">
        <f t="shared" si="30"/>
        <v>4.9738895450072649</v>
      </c>
      <c r="Q324" s="226">
        <f t="shared" si="31"/>
        <v>7.6809176183519794</v>
      </c>
      <c r="R324" s="144"/>
    </row>
    <row r="325" spans="2:18">
      <c r="B325" s="142">
        <f t="shared" si="32"/>
        <v>2048</v>
      </c>
      <c r="C325" s="19">
        <f t="shared" si="33"/>
        <v>6</v>
      </c>
      <c r="D325" s="143">
        <v>54210</v>
      </c>
      <c r="E325" s="19" t="str">
        <f t="shared" si="29"/>
        <v>6-2048</v>
      </c>
      <c r="F325" s="214">
        <v>4.8833447369731715</v>
      </c>
      <c r="G325" s="214">
        <v>2.3656319281227751</v>
      </c>
      <c r="H325" s="214">
        <v>7.2489766650959471</v>
      </c>
      <c r="I325" s="214">
        <v>5.1181836192850128</v>
      </c>
      <c r="J325" s="214">
        <v>3.9092792077248943</v>
      </c>
      <c r="K325" s="214">
        <v>9.0274628270099075</v>
      </c>
      <c r="L325" s="214">
        <v>5.3057862831821607</v>
      </c>
      <c r="M325" s="214">
        <v>1.8461730841864703</v>
      </c>
      <c r="N325" s="214">
        <v>7.1519593673686312</v>
      </c>
      <c r="P325" s="226">
        <f t="shared" si="30"/>
        <v>5.1024382131467823</v>
      </c>
      <c r="Q325" s="226">
        <f t="shared" si="31"/>
        <v>7.809466286491495</v>
      </c>
      <c r="R325" s="144"/>
    </row>
    <row r="326" spans="2:18">
      <c r="B326" s="142">
        <f t="shared" si="32"/>
        <v>2048</v>
      </c>
      <c r="C326" s="19">
        <f t="shared" si="33"/>
        <v>7</v>
      </c>
      <c r="D326" s="143">
        <v>54240</v>
      </c>
      <c r="E326" s="19" t="str">
        <f t="shared" si="29"/>
        <v>7-2048</v>
      </c>
      <c r="F326" s="214">
        <v>4.9221024614566726</v>
      </c>
      <c r="G326" s="214">
        <v>2.3656319281227751</v>
      </c>
      <c r="H326" s="214">
        <v>7.2877343895794482</v>
      </c>
      <c r="I326" s="214">
        <v>5.1587252872125422</v>
      </c>
      <c r="J326" s="214">
        <v>3.9092792077248943</v>
      </c>
      <c r="K326" s="214">
        <v>9.068004494937437</v>
      </c>
      <c r="L326" s="214">
        <v>5.3478164752748913</v>
      </c>
      <c r="M326" s="214">
        <v>1.8461730841864703</v>
      </c>
      <c r="N326" s="214">
        <v>7.1939895594613619</v>
      </c>
      <c r="P326" s="226">
        <f t="shared" si="30"/>
        <v>5.1428814079813687</v>
      </c>
      <c r="Q326" s="226">
        <f t="shared" si="31"/>
        <v>7.8499094813260823</v>
      </c>
      <c r="R326" s="144"/>
    </row>
    <row r="327" spans="2:18">
      <c r="B327" s="142">
        <f t="shared" si="32"/>
        <v>2048</v>
      </c>
      <c r="C327" s="19">
        <f t="shared" si="33"/>
        <v>8</v>
      </c>
      <c r="D327" s="143">
        <v>54271</v>
      </c>
      <c r="E327" s="19" t="str">
        <f t="shared" si="29"/>
        <v>8-2048</v>
      </c>
      <c r="F327" s="214">
        <v>4.8840996801968792</v>
      </c>
      <c r="G327" s="214">
        <v>2.3656319281227751</v>
      </c>
      <c r="H327" s="214">
        <v>7.2497316083196548</v>
      </c>
      <c r="I327" s="214">
        <v>5.1188162827829427</v>
      </c>
      <c r="J327" s="214">
        <v>3.9092792077248943</v>
      </c>
      <c r="K327" s="214">
        <v>9.0280954905078374</v>
      </c>
      <c r="L327" s="214">
        <v>5.3064471056239348</v>
      </c>
      <c r="M327" s="214">
        <v>1.8461730841864703</v>
      </c>
      <c r="N327" s="214">
        <v>7.1526201898104054</v>
      </c>
      <c r="P327" s="226">
        <f t="shared" si="30"/>
        <v>5.1031210228679189</v>
      </c>
      <c r="Q327" s="226">
        <f t="shared" si="31"/>
        <v>7.8101490962126334</v>
      </c>
      <c r="R327" s="144"/>
    </row>
    <row r="328" spans="2:18">
      <c r="B328" s="142">
        <f t="shared" si="32"/>
        <v>2048</v>
      </c>
      <c r="C328" s="19">
        <f t="shared" si="33"/>
        <v>9</v>
      </c>
      <c r="D328" s="143">
        <v>54302</v>
      </c>
      <c r="E328" s="19" t="str">
        <f t="shared" si="29"/>
        <v>9-2048</v>
      </c>
      <c r="F328" s="214">
        <v>4.9528150432384912</v>
      </c>
      <c r="G328" s="214">
        <v>2.3656319281227751</v>
      </c>
      <c r="H328" s="214">
        <v>7.3184469713612668</v>
      </c>
      <c r="I328" s="214">
        <v>5.1907535028072633</v>
      </c>
      <c r="J328" s="214">
        <v>3.9092792077248943</v>
      </c>
      <c r="K328" s="214">
        <v>9.1000327105321581</v>
      </c>
      <c r="L328" s="214">
        <v>5.3810237129754936</v>
      </c>
      <c r="M328" s="214">
        <v>1.8461730841864703</v>
      </c>
      <c r="N328" s="214">
        <v>7.2271967971619642</v>
      </c>
      <c r="P328" s="226">
        <f t="shared" si="30"/>
        <v>5.1748640863404161</v>
      </c>
      <c r="Q328" s="226">
        <f t="shared" si="31"/>
        <v>7.8818921596851297</v>
      </c>
      <c r="R328" s="144"/>
    </row>
    <row r="329" spans="2:18">
      <c r="B329" s="142">
        <f t="shared" si="32"/>
        <v>2048</v>
      </c>
      <c r="C329" s="19">
        <f t="shared" si="33"/>
        <v>10</v>
      </c>
      <c r="D329" s="143">
        <v>54332</v>
      </c>
      <c r="E329" s="19" t="str">
        <f t="shared" ref="E329:E392" si="34">C329&amp;"-"&amp;B329</f>
        <v>10-2048</v>
      </c>
      <c r="F329" s="214">
        <v>4.9242905556395336</v>
      </c>
      <c r="G329" s="214">
        <v>2.3656319281227751</v>
      </c>
      <c r="H329" s="214">
        <v>7.2899224837623091</v>
      </c>
      <c r="I329" s="214">
        <v>5.1607787084568955</v>
      </c>
      <c r="J329" s="214">
        <v>3.9092792077248943</v>
      </c>
      <c r="K329" s="214">
        <v>9.0700579161817902</v>
      </c>
      <c r="L329" s="214">
        <v>5.3499526800483714</v>
      </c>
      <c r="M329" s="214">
        <v>1.8461730841864703</v>
      </c>
      <c r="N329" s="214">
        <v>7.196125764234842</v>
      </c>
      <c r="P329" s="226">
        <f t="shared" ref="P329:P392" si="35">AVERAGE(F329,I329,L329)</f>
        <v>5.1450073147149338</v>
      </c>
      <c r="Q329" s="226">
        <f t="shared" ref="Q329:Q392" si="36">AVERAGE(H329,K329,N329)</f>
        <v>7.8520353880596474</v>
      </c>
      <c r="R329" s="144"/>
    </row>
    <row r="330" spans="2:18">
      <c r="B330" s="142">
        <f t="shared" si="32"/>
        <v>2048</v>
      </c>
      <c r="C330" s="19">
        <f t="shared" si="33"/>
        <v>11</v>
      </c>
      <c r="D330" s="143">
        <v>54363</v>
      </c>
      <c r="E330" s="19" t="str">
        <f t="shared" si="34"/>
        <v>11-2048</v>
      </c>
      <c r="F330" s="214">
        <v>5.1676996358830483</v>
      </c>
      <c r="G330" s="214">
        <v>2.3656319281227751</v>
      </c>
      <c r="H330" s="214">
        <v>7.5333315640058238</v>
      </c>
      <c r="I330" s="214">
        <v>5.4157935460349753</v>
      </c>
      <c r="J330" s="214">
        <v>3.9092792077248943</v>
      </c>
      <c r="K330" s="214">
        <v>9.3250727537598692</v>
      </c>
      <c r="L330" s="214">
        <v>5.6143179943453738</v>
      </c>
      <c r="M330" s="214">
        <v>1.8461730841864703</v>
      </c>
      <c r="N330" s="214">
        <v>7.4604910785318443</v>
      </c>
      <c r="P330" s="226">
        <f t="shared" si="35"/>
        <v>5.3992703920877991</v>
      </c>
      <c r="Q330" s="226">
        <f t="shared" si="36"/>
        <v>8.1062984654325128</v>
      </c>
      <c r="R330" s="144"/>
    </row>
    <row r="331" spans="2:18">
      <c r="B331" s="142">
        <f t="shared" si="32"/>
        <v>2048</v>
      </c>
      <c r="C331" s="19">
        <f t="shared" si="33"/>
        <v>12</v>
      </c>
      <c r="D331" s="143">
        <v>54393</v>
      </c>
      <c r="E331" s="19" t="str">
        <f t="shared" si="34"/>
        <v>12-2048</v>
      </c>
      <c r="F331" s="214">
        <v>5.2092829721080705</v>
      </c>
      <c r="G331" s="214">
        <v>2.3656319281227751</v>
      </c>
      <c r="H331" s="214">
        <v>7.574914900230846</v>
      </c>
      <c r="I331" s="214">
        <v>5.4592886380929269</v>
      </c>
      <c r="J331" s="214">
        <v>3.9092792077248943</v>
      </c>
      <c r="K331" s="214">
        <v>9.3685678458178216</v>
      </c>
      <c r="L331" s="214">
        <v>5.6594101187058063</v>
      </c>
      <c r="M331" s="214">
        <v>1.8461730841864703</v>
      </c>
      <c r="N331" s="214">
        <v>7.5055832028922769</v>
      </c>
      <c r="P331" s="226">
        <f t="shared" si="35"/>
        <v>5.4426605763022673</v>
      </c>
      <c r="Q331" s="226">
        <f t="shared" si="36"/>
        <v>8.1496886496469809</v>
      </c>
      <c r="R331" s="144"/>
    </row>
    <row r="332" spans="2:18">
      <c r="B332" s="142">
        <f t="shared" si="32"/>
        <v>2049</v>
      </c>
      <c r="C332" s="19">
        <f t="shared" si="33"/>
        <v>1</v>
      </c>
      <c r="D332" s="143">
        <v>54424</v>
      </c>
      <c r="E332" s="19" t="str">
        <f t="shared" si="34"/>
        <v>1-2049</v>
      </c>
      <c r="F332" s="214">
        <v>5.2096222083323092</v>
      </c>
      <c r="G332" s="214">
        <v>2.4599374887613914</v>
      </c>
      <c r="H332" s="214">
        <v>7.6695596970937006</v>
      </c>
      <c r="I332" s="214">
        <v>5.4595557335305847</v>
      </c>
      <c r="J332" s="214">
        <v>4.06565037603389</v>
      </c>
      <c r="K332" s="214">
        <v>9.5252061095644756</v>
      </c>
      <c r="L332" s="214">
        <v>5.65968984155265</v>
      </c>
      <c r="M332" s="214">
        <v>1.9200200075539291</v>
      </c>
      <c r="N332" s="214">
        <v>7.5797098491065791</v>
      </c>
      <c r="P332" s="226">
        <f t="shared" si="35"/>
        <v>5.4429559278051824</v>
      </c>
      <c r="Q332" s="226">
        <f t="shared" si="36"/>
        <v>8.2581585519215839</v>
      </c>
      <c r="R332" s="144"/>
    </row>
    <row r="333" spans="2:18">
      <c r="B333" s="142">
        <f t="shared" si="32"/>
        <v>2049</v>
      </c>
      <c r="C333" s="19">
        <f t="shared" si="33"/>
        <v>2</v>
      </c>
      <c r="D333" s="143">
        <v>54455</v>
      </c>
      <c r="E333" s="19" t="str">
        <f t="shared" si="34"/>
        <v>2-2049</v>
      </c>
      <c r="F333" s="214">
        <v>5.0954351946480623</v>
      </c>
      <c r="G333" s="214">
        <v>2.4599374887613914</v>
      </c>
      <c r="H333" s="214">
        <v>7.5553726834094537</v>
      </c>
      <c r="I333" s="214">
        <v>5.3398040667191928</v>
      </c>
      <c r="J333" s="214">
        <v>4.06565037603389</v>
      </c>
      <c r="K333" s="214">
        <v>9.4054544427530828</v>
      </c>
      <c r="L333" s="214">
        <v>5.5355511428252999</v>
      </c>
      <c r="M333" s="214">
        <v>1.9200200075539291</v>
      </c>
      <c r="N333" s="214">
        <v>7.455571150379229</v>
      </c>
      <c r="P333" s="226">
        <f t="shared" si="35"/>
        <v>5.3235968013975183</v>
      </c>
      <c r="Q333" s="226">
        <f t="shared" si="36"/>
        <v>8.1387994255139215</v>
      </c>
      <c r="R333" s="144"/>
    </row>
    <row r="334" spans="2:18">
      <c r="B334" s="142">
        <f t="shared" si="32"/>
        <v>2049</v>
      </c>
      <c r="C334" s="19">
        <f t="shared" si="33"/>
        <v>3</v>
      </c>
      <c r="D334" s="143">
        <v>54483</v>
      </c>
      <c r="E334" s="19" t="str">
        <f t="shared" si="34"/>
        <v>3-2049</v>
      </c>
      <c r="F334" s="214">
        <v>4.6776541603260933</v>
      </c>
      <c r="G334" s="214">
        <v>2.4599374887613914</v>
      </c>
      <c r="H334" s="214">
        <v>7.1375916490874847</v>
      </c>
      <c r="I334" s="214">
        <v>4.9019075226332118</v>
      </c>
      <c r="J334" s="214">
        <v>4.06565037603389</v>
      </c>
      <c r="K334" s="214">
        <v>8.9675578986671027</v>
      </c>
      <c r="L334" s="214">
        <v>5.0816046903294003</v>
      </c>
      <c r="M334" s="214">
        <v>1.9200200075539291</v>
      </c>
      <c r="N334" s="214">
        <v>7.0016246978833294</v>
      </c>
      <c r="P334" s="226">
        <f t="shared" si="35"/>
        <v>4.8870554577629015</v>
      </c>
      <c r="Q334" s="226">
        <f t="shared" si="36"/>
        <v>7.7022580818793047</v>
      </c>
      <c r="R334" s="144"/>
    </row>
    <row r="335" spans="2:18">
      <c r="B335" s="142">
        <f t="shared" si="32"/>
        <v>2049</v>
      </c>
      <c r="C335" s="19">
        <f t="shared" si="33"/>
        <v>4</v>
      </c>
      <c r="D335" s="143">
        <v>54514</v>
      </c>
      <c r="E335" s="19" t="str">
        <f t="shared" si="34"/>
        <v>4-2049</v>
      </c>
      <c r="F335" s="214">
        <v>4.5980922840318819</v>
      </c>
      <c r="G335" s="214">
        <v>2.4599374887613914</v>
      </c>
      <c r="H335" s="214">
        <v>7.0580297727932733</v>
      </c>
      <c r="I335" s="214">
        <v>4.8184532787983008</v>
      </c>
      <c r="J335" s="214">
        <v>4.06565037603389</v>
      </c>
      <c r="K335" s="214">
        <v>8.8841036548321917</v>
      </c>
      <c r="L335" s="214">
        <v>4.9950936332021811</v>
      </c>
      <c r="M335" s="214">
        <v>1.9200200075539291</v>
      </c>
      <c r="N335" s="214">
        <v>6.9151136407561102</v>
      </c>
      <c r="P335" s="226">
        <f t="shared" si="35"/>
        <v>4.8038797320107882</v>
      </c>
      <c r="Q335" s="226">
        <f t="shared" si="36"/>
        <v>7.6190823561271914</v>
      </c>
      <c r="R335" s="144"/>
    </row>
    <row r="336" spans="2:18">
      <c r="B336" s="142">
        <f t="shared" si="32"/>
        <v>2049</v>
      </c>
      <c r="C336" s="19">
        <f t="shared" si="33"/>
        <v>5</v>
      </c>
      <c r="D336" s="143">
        <v>54544</v>
      </c>
      <c r="E336" s="19" t="str">
        <f t="shared" si="34"/>
        <v>5-2049</v>
      </c>
      <c r="F336" s="214">
        <v>4.7581510475677788</v>
      </c>
      <c r="G336" s="214">
        <v>2.4599374887613914</v>
      </c>
      <c r="H336" s="214">
        <v>7.2180885363291702</v>
      </c>
      <c r="I336" s="214">
        <v>4.9861019874267214</v>
      </c>
      <c r="J336" s="214">
        <v>4.06565037603389</v>
      </c>
      <c r="K336" s="214">
        <v>9.0517523634606114</v>
      </c>
      <c r="L336" s="214">
        <v>5.1688907909041975</v>
      </c>
      <c r="M336" s="214">
        <v>1.9200200075539291</v>
      </c>
      <c r="N336" s="214">
        <v>7.0889107984581265</v>
      </c>
      <c r="P336" s="226">
        <f t="shared" si="35"/>
        <v>4.9710479419662326</v>
      </c>
      <c r="Q336" s="226">
        <f t="shared" si="36"/>
        <v>7.7862505660826358</v>
      </c>
      <c r="R336" s="144"/>
    </row>
    <row r="337" spans="2:18">
      <c r="B337" s="142">
        <f t="shared" si="32"/>
        <v>2049</v>
      </c>
      <c r="C337" s="19">
        <f t="shared" si="33"/>
        <v>6</v>
      </c>
      <c r="D337" s="143">
        <v>54575</v>
      </c>
      <c r="E337" s="19" t="str">
        <f t="shared" si="34"/>
        <v>6-2049</v>
      </c>
      <c r="F337" s="214">
        <v>4.8811921232286597</v>
      </c>
      <c r="G337" s="214">
        <v>2.4599374887613914</v>
      </c>
      <c r="H337" s="214">
        <v>7.3411296119900511</v>
      </c>
      <c r="I337" s="214">
        <v>5.1149547725942659</v>
      </c>
      <c r="J337" s="214">
        <v>4.06565037603389</v>
      </c>
      <c r="K337" s="214">
        <v>9.1806051486281568</v>
      </c>
      <c r="L337" s="214">
        <v>5.3024699341631312</v>
      </c>
      <c r="M337" s="214">
        <v>1.9200200075539291</v>
      </c>
      <c r="N337" s="214">
        <v>7.2224899417170603</v>
      </c>
      <c r="P337" s="226">
        <f t="shared" si="35"/>
        <v>5.0995389433286853</v>
      </c>
      <c r="Q337" s="226">
        <f t="shared" si="36"/>
        <v>7.9147415674450903</v>
      </c>
      <c r="R337" s="144"/>
    </row>
    <row r="338" spans="2:18">
      <c r="B338" s="142">
        <f t="shared" si="32"/>
        <v>2049</v>
      </c>
      <c r="C338" s="19">
        <f t="shared" si="33"/>
        <v>7</v>
      </c>
      <c r="D338" s="143">
        <v>54605</v>
      </c>
      <c r="E338" s="19" t="str">
        <f t="shared" si="34"/>
        <v>7-2049</v>
      </c>
      <c r="F338" s="214">
        <v>4.9199503166430079</v>
      </c>
      <c r="G338" s="214">
        <v>2.4599374887613914</v>
      </c>
      <c r="H338" s="214">
        <v>7.3798878054043993</v>
      </c>
      <c r="I338" s="214">
        <v>5.1554855745827579</v>
      </c>
      <c r="J338" s="214">
        <v>4.06565037603389</v>
      </c>
      <c r="K338" s="214">
        <v>9.2211359506166488</v>
      </c>
      <c r="L338" s="214">
        <v>5.344489282781816</v>
      </c>
      <c r="M338" s="214">
        <v>1.9200200075539291</v>
      </c>
      <c r="N338" s="214">
        <v>7.2645092903357451</v>
      </c>
      <c r="P338" s="226">
        <f t="shared" si="35"/>
        <v>5.139975058002527</v>
      </c>
      <c r="Q338" s="226">
        <f t="shared" si="36"/>
        <v>7.9551776821189319</v>
      </c>
      <c r="R338" s="144"/>
    </row>
    <row r="339" spans="2:18">
      <c r="B339" s="142">
        <f t="shared" si="32"/>
        <v>2049</v>
      </c>
      <c r="C339" s="19">
        <f t="shared" si="33"/>
        <v>8</v>
      </c>
      <c r="D339" s="143">
        <v>54636</v>
      </c>
      <c r="E339" s="19" t="str">
        <f t="shared" si="34"/>
        <v>8-2049</v>
      </c>
      <c r="F339" s="214">
        <v>4.8819815711859382</v>
      </c>
      <c r="G339" s="214">
        <v>2.4599374887613914</v>
      </c>
      <c r="H339" s="214">
        <v>7.3419190599473296</v>
      </c>
      <c r="I339" s="214">
        <v>5.1156162311343509</v>
      </c>
      <c r="J339" s="214">
        <v>4.06565037603389</v>
      </c>
      <c r="K339" s="214">
        <v>9.1812666071682401</v>
      </c>
      <c r="L339" s="214">
        <v>5.3031609609959443</v>
      </c>
      <c r="M339" s="214">
        <v>1.9200200075539291</v>
      </c>
      <c r="N339" s="214">
        <v>7.2231809685498733</v>
      </c>
      <c r="P339" s="226">
        <f t="shared" si="35"/>
        <v>5.1002529211054108</v>
      </c>
      <c r="Q339" s="226">
        <f t="shared" si="36"/>
        <v>7.915455545221814</v>
      </c>
      <c r="R339" s="144"/>
    </row>
    <row r="340" spans="2:18">
      <c r="B340" s="142">
        <f t="shared" si="32"/>
        <v>2049</v>
      </c>
      <c r="C340" s="19">
        <f t="shared" si="33"/>
        <v>9</v>
      </c>
      <c r="D340" s="143">
        <v>54667</v>
      </c>
      <c r="E340" s="19" t="str">
        <f t="shared" si="34"/>
        <v>9-2049</v>
      </c>
      <c r="F340" s="214">
        <v>4.9506848000022616</v>
      </c>
      <c r="G340" s="214">
        <v>2.4599374887613914</v>
      </c>
      <c r="H340" s="214">
        <v>7.410622288763653</v>
      </c>
      <c r="I340" s="214">
        <v>5.1875232838935634</v>
      </c>
      <c r="J340" s="214">
        <v>4.06565037603389</v>
      </c>
      <c r="K340" s="214">
        <v>9.2531736599274534</v>
      </c>
      <c r="L340" s="214">
        <v>5.3777069113541955</v>
      </c>
      <c r="M340" s="214">
        <v>1.9200200075539291</v>
      </c>
      <c r="N340" s="214">
        <v>7.2977269189081246</v>
      </c>
      <c r="P340" s="226">
        <f t="shared" si="35"/>
        <v>5.1719716650833405</v>
      </c>
      <c r="Q340" s="226">
        <f t="shared" si="36"/>
        <v>7.9871742891997437</v>
      </c>
      <c r="R340" s="144"/>
    </row>
    <row r="341" spans="2:18">
      <c r="B341" s="142">
        <f t="shared" si="32"/>
        <v>2049</v>
      </c>
      <c r="C341" s="19">
        <f t="shared" si="33"/>
        <v>10</v>
      </c>
      <c r="D341" s="143">
        <v>54697</v>
      </c>
      <c r="E341" s="19" t="str">
        <f t="shared" si="34"/>
        <v>10-2049</v>
      </c>
      <c r="F341" s="214">
        <v>4.922190146481471</v>
      </c>
      <c r="G341" s="214">
        <v>2.4599374887613914</v>
      </c>
      <c r="H341" s="214">
        <v>7.3821276352428624</v>
      </c>
      <c r="I341" s="214">
        <v>5.157581863652088</v>
      </c>
      <c r="J341" s="214">
        <v>4.06565037603389</v>
      </c>
      <c r="K341" s="214">
        <v>9.2232322396859772</v>
      </c>
      <c r="L341" s="214">
        <v>5.3466704686179485</v>
      </c>
      <c r="M341" s="214">
        <v>1.9200200075539291</v>
      </c>
      <c r="N341" s="214">
        <v>7.2666904761718776</v>
      </c>
      <c r="P341" s="226">
        <f t="shared" si="35"/>
        <v>5.1421474929171689</v>
      </c>
      <c r="Q341" s="226">
        <f t="shared" si="36"/>
        <v>7.957350117033573</v>
      </c>
      <c r="R341" s="144"/>
    </row>
    <row r="342" spans="2:18">
      <c r="B342" s="142">
        <f t="shared" si="32"/>
        <v>2049</v>
      </c>
      <c r="C342" s="19">
        <f t="shared" si="33"/>
        <v>11</v>
      </c>
      <c r="D342" s="143">
        <v>54728</v>
      </c>
      <c r="E342" s="19" t="str">
        <f t="shared" si="34"/>
        <v>11-2049</v>
      </c>
      <c r="F342" s="214">
        <v>5.1655138380714085</v>
      </c>
      <c r="G342" s="214">
        <v>2.4599374887613914</v>
      </c>
      <c r="H342" s="214">
        <v>7.6254513268327999</v>
      </c>
      <c r="I342" s="214">
        <v>5.4124541820660852</v>
      </c>
      <c r="J342" s="214">
        <v>4.06565037603389</v>
      </c>
      <c r="K342" s="214">
        <v>9.4781045580999752</v>
      </c>
      <c r="L342" s="214">
        <v>5.6108897970058953</v>
      </c>
      <c r="M342" s="214">
        <v>1.9200200075539291</v>
      </c>
      <c r="N342" s="214">
        <v>7.5309098045598244</v>
      </c>
      <c r="P342" s="226">
        <f t="shared" si="35"/>
        <v>5.3962859390477966</v>
      </c>
      <c r="Q342" s="226">
        <f t="shared" si="36"/>
        <v>8.2114885631642007</v>
      </c>
      <c r="R342" s="144"/>
    </row>
    <row r="343" spans="2:18">
      <c r="B343" s="142">
        <f t="shared" si="32"/>
        <v>2049</v>
      </c>
      <c r="C343" s="19">
        <f t="shared" si="33"/>
        <v>12</v>
      </c>
      <c r="D343" s="143">
        <v>54758</v>
      </c>
      <c r="E343" s="19" t="str">
        <f t="shared" si="34"/>
        <v>12-2049</v>
      </c>
      <c r="F343" s="214">
        <v>5.207098170608158</v>
      </c>
      <c r="G343" s="214">
        <v>2.4599374887613914</v>
      </c>
      <c r="H343" s="214">
        <v>7.6670356593695494</v>
      </c>
      <c r="I343" s="214">
        <v>5.4559380307266006</v>
      </c>
      <c r="J343" s="214">
        <v>4.06565037603389</v>
      </c>
      <c r="K343" s="214">
        <v>9.5215884067604897</v>
      </c>
      <c r="L343" s="214">
        <v>5.6559707222153008</v>
      </c>
      <c r="M343" s="214">
        <v>1.9200200075539291</v>
      </c>
      <c r="N343" s="214">
        <v>7.5759907297692299</v>
      </c>
      <c r="P343" s="226">
        <f t="shared" si="35"/>
        <v>5.4396689745166862</v>
      </c>
      <c r="Q343" s="226">
        <f t="shared" si="36"/>
        <v>8.2548715986330894</v>
      </c>
      <c r="R343" s="144"/>
    </row>
    <row r="344" spans="2:18">
      <c r="B344" s="142">
        <f t="shared" si="32"/>
        <v>2050</v>
      </c>
      <c r="C344" s="19">
        <f t="shared" si="33"/>
        <v>1</v>
      </c>
      <c r="D344" s="143">
        <v>54789</v>
      </c>
      <c r="E344" s="19" t="str">
        <f t="shared" si="34"/>
        <v>1-2050</v>
      </c>
      <c r="F344" s="214">
        <v>5.2074415750808791</v>
      </c>
      <c r="G344" s="214">
        <v>2.558002578305385</v>
      </c>
      <c r="H344" s="214">
        <v>7.7654441533862641</v>
      </c>
      <c r="I344" s="214">
        <v>5.4562122367392902</v>
      </c>
      <c r="J344" s="214">
        <v>4.2282763910752452</v>
      </c>
      <c r="K344" s="214">
        <v>9.6844886278145346</v>
      </c>
      <c r="L344" s="214">
        <v>5.6562574962789149</v>
      </c>
      <c r="M344" s="214">
        <v>1.9968208078560863</v>
      </c>
      <c r="N344" s="214">
        <v>7.6530783041350015</v>
      </c>
      <c r="P344" s="226">
        <f t="shared" si="35"/>
        <v>5.4399704360330281</v>
      </c>
      <c r="Q344" s="226">
        <f t="shared" si="36"/>
        <v>8.3676703617786004</v>
      </c>
      <c r="R344" s="144"/>
    </row>
    <row r="345" spans="2:18">
      <c r="B345" s="142">
        <f t="shared" si="32"/>
        <v>2050</v>
      </c>
      <c r="C345" s="19">
        <f t="shared" si="33"/>
        <v>2</v>
      </c>
      <c r="D345" s="143">
        <v>54820</v>
      </c>
      <c r="E345" s="19" t="str">
        <f t="shared" si="34"/>
        <v>2-2050</v>
      </c>
      <c r="F345" s="214">
        <v>5.0933065739091248</v>
      </c>
      <c r="G345" s="214">
        <v>2.558002578305385</v>
      </c>
      <c r="H345" s="214">
        <v>7.6513091522145098</v>
      </c>
      <c r="I345" s="214">
        <v>5.3365410229412049</v>
      </c>
      <c r="J345" s="214">
        <v>4.2282763910752452</v>
      </c>
      <c r="K345" s="214">
        <v>9.5648174140164492</v>
      </c>
      <c r="L345" s="214">
        <v>5.5322011455832509</v>
      </c>
      <c r="M345" s="214">
        <v>1.9968208078560863</v>
      </c>
      <c r="N345" s="214">
        <v>7.5290219534393374</v>
      </c>
      <c r="P345" s="226">
        <f t="shared" si="35"/>
        <v>5.3206829141445269</v>
      </c>
      <c r="Q345" s="226">
        <f t="shared" si="36"/>
        <v>8.2483828398900982</v>
      </c>
      <c r="R345" s="144"/>
    </row>
    <row r="346" spans="2:18">
      <c r="B346" s="142">
        <f t="shared" si="32"/>
        <v>2050</v>
      </c>
      <c r="C346" s="19">
        <f t="shared" si="33"/>
        <v>3</v>
      </c>
      <c r="D346" s="143">
        <v>54848</v>
      </c>
      <c r="E346" s="19" t="str">
        <f t="shared" si="34"/>
        <v>3-2050</v>
      </c>
      <c r="F346" s="214">
        <v>4.6757039387426467</v>
      </c>
      <c r="G346" s="214">
        <v>2.558002578305385</v>
      </c>
      <c r="H346" s="214">
        <v>7.2337065170480317</v>
      </c>
      <c r="I346" s="214">
        <v>4.8989186011824719</v>
      </c>
      <c r="J346" s="214">
        <v>4.2282763910752452</v>
      </c>
      <c r="K346" s="214">
        <v>9.1271949922577171</v>
      </c>
      <c r="L346" s="214">
        <v>5.0785358967245688</v>
      </c>
      <c r="M346" s="214">
        <v>1.9968208078560863</v>
      </c>
      <c r="N346" s="214">
        <v>7.0753567045806554</v>
      </c>
      <c r="P346" s="226">
        <f t="shared" si="35"/>
        <v>4.8843861455498958</v>
      </c>
      <c r="Q346" s="226">
        <f t="shared" si="36"/>
        <v>7.8120860712954681</v>
      </c>
      <c r="R346" s="144"/>
    </row>
    <row r="347" spans="2:18">
      <c r="B347" s="142">
        <f t="shared" si="32"/>
        <v>2050</v>
      </c>
      <c r="C347" s="19">
        <f t="shared" si="33"/>
        <v>4</v>
      </c>
      <c r="D347" s="143">
        <v>54879</v>
      </c>
      <c r="E347" s="19" t="str">
        <f t="shared" si="34"/>
        <v>4-2050</v>
      </c>
      <c r="F347" s="214">
        <v>4.5961790389583772</v>
      </c>
      <c r="G347" s="214">
        <v>2.558002578305385</v>
      </c>
      <c r="H347" s="214">
        <v>7.1541816172637622</v>
      </c>
      <c r="I347" s="214">
        <v>4.8155216655357593</v>
      </c>
      <c r="J347" s="214">
        <v>4.2282763910752452</v>
      </c>
      <c r="K347" s="214">
        <v>9.0437980566110046</v>
      </c>
      <c r="L347" s="214">
        <v>4.9920834590280787</v>
      </c>
      <c r="M347" s="214">
        <v>1.9968208078560863</v>
      </c>
      <c r="N347" s="214">
        <v>6.9889042668841652</v>
      </c>
      <c r="P347" s="226">
        <f t="shared" si="35"/>
        <v>4.8012613878407384</v>
      </c>
      <c r="Q347" s="226">
        <f t="shared" si="36"/>
        <v>7.7289613135863107</v>
      </c>
      <c r="R347" s="144"/>
    </row>
    <row r="348" spans="2:18">
      <c r="B348" s="142">
        <f t="shared" si="32"/>
        <v>2050</v>
      </c>
      <c r="C348" s="19">
        <f t="shared" si="33"/>
        <v>5</v>
      </c>
      <c r="D348" s="143">
        <v>54909</v>
      </c>
      <c r="E348" s="19" t="str">
        <f t="shared" si="34"/>
        <v>5-2050</v>
      </c>
      <c r="F348" s="214">
        <v>4.7561751408506225</v>
      </c>
      <c r="G348" s="214">
        <v>2.558002578305385</v>
      </c>
      <c r="H348" s="214">
        <v>7.3141777191560076</v>
      </c>
      <c r="I348" s="214">
        <v>4.9830750207597188</v>
      </c>
      <c r="J348" s="214">
        <v>4.2282763910752452</v>
      </c>
      <c r="K348" s="214">
        <v>9.2113514118349649</v>
      </c>
      <c r="L348" s="214">
        <v>5.1657824796875653</v>
      </c>
      <c r="M348" s="214">
        <v>1.9968208078560863</v>
      </c>
      <c r="N348" s="214">
        <v>7.1626032875436518</v>
      </c>
      <c r="P348" s="226">
        <f t="shared" si="35"/>
        <v>4.9683442137659695</v>
      </c>
      <c r="Q348" s="226">
        <f t="shared" si="36"/>
        <v>7.8960441395115408</v>
      </c>
      <c r="R348" s="144"/>
    </row>
    <row r="349" spans="2:18">
      <c r="B349" s="142">
        <f t="shared" si="32"/>
        <v>2050</v>
      </c>
      <c r="C349" s="19">
        <f t="shared" si="33"/>
        <v>6</v>
      </c>
      <c r="D349" s="143">
        <v>54940</v>
      </c>
      <c r="E349" s="19" t="str">
        <f t="shared" si="34"/>
        <v>6-2050</v>
      </c>
      <c r="F349" s="214">
        <v>4.879169161709461</v>
      </c>
      <c r="G349" s="214">
        <v>2.558002578305385</v>
      </c>
      <c r="H349" s="214">
        <v>7.437171740014846</v>
      </c>
      <c r="I349" s="214">
        <v>5.1118564007104741</v>
      </c>
      <c r="J349" s="214">
        <v>4.2282763910752452</v>
      </c>
      <c r="K349" s="214">
        <v>9.3401327917857202</v>
      </c>
      <c r="L349" s="214">
        <v>5.2992880640240561</v>
      </c>
      <c r="M349" s="214">
        <v>1.9968208078560863</v>
      </c>
      <c r="N349" s="214">
        <v>7.2961088718801426</v>
      </c>
      <c r="P349" s="226">
        <f t="shared" si="35"/>
        <v>5.0967712088146637</v>
      </c>
      <c r="Q349" s="226">
        <f t="shared" si="36"/>
        <v>8.0244711345602369</v>
      </c>
      <c r="R349" s="144"/>
    </row>
    <row r="350" spans="2:18">
      <c r="B350" s="142">
        <f t="shared" si="32"/>
        <v>2050</v>
      </c>
      <c r="C350" s="19">
        <f t="shared" si="33"/>
        <v>7</v>
      </c>
      <c r="D350" s="143">
        <v>54970</v>
      </c>
      <c r="E350" s="19" t="str">
        <f t="shared" si="34"/>
        <v>7-2050</v>
      </c>
      <c r="F350" s="214">
        <v>4.9179153647307698</v>
      </c>
      <c r="G350" s="214">
        <v>2.558002578305385</v>
      </c>
      <c r="H350" s="214">
        <v>7.4759179430361549</v>
      </c>
      <c r="I350" s="214">
        <v>5.1523695248281873</v>
      </c>
      <c r="J350" s="214">
        <v>4.2282763910752452</v>
      </c>
      <c r="K350" s="214">
        <v>9.3806459159034326</v>
      </c>
      <c r="L350" s="214">
        <v>5.3412890211512778</v>
      </c>
      <c r="M350" s="214">
        <v>1.9968208078560863</v>
      </c>
      <c r="N350" s="214">
        <v>7.3381098290073643</v>
      </c>
      <c r="P350" s="226">
        <f t="shared" si="35"/>
        <v>5.137191303570078</v>
      </c>
      <c r="Q350" s="226">
        <f t="shared" si="36"/>
        <v>8.0648912293156503</v>
      </c>
      <c r="R350" s="144"/>
    </row>
    <row r="351" spans="2:18">
      <c r="B351" s="142">
        <f t="shared" si="32"/>
        <v>2050</v>
      </c>
      <c r="C351" s="19">
        <f t="shared" si="33"/>
        <v>8</v>
      </c>
      <c r="D351" s="143">
        <v>55001</v>
      </c>
      <c r="E351" s="19" t="str">
        <f t="shared" si="34"/>
        <v>8-2050</v>
      </c>
      <c r="F351" s="214">
        <v>4.8799663650215104</v>
      </c>
      <c r="G351" s="214">
        <v>2.558002578305385</v>
      </c>
      <c r="H351" s="214">
        <v>7.4379689433268954</v>
      </c>
      <c r="I351" s="214">
        <v>5.1125311000950431</v>
      </c>
      <c r="J351" s="214">
        <v>4.2282763910752452</v>
      </c>
      <c r="K351" s="214">
        <v>9.3408074911702883</v>
      </c>
      <c r="L351" s="214">
        <v>5.2999922177379268</v>
      </c>
      <c r="M351" s="214">
        <v>1.9968208078560863</v>
      </c>
      <c r="N351" s="214">
        <v>7.2968130255940133</v>
      </c>
      <c r="P351" s="226">
        <f t="shared" si="35"/>
        <v>5.0974965609514937</v>
      </c>
      <c r="Q351" s="226">
        <f t="shared" si="36"/>
        <v>8.0251964866970642</v>
      </c>
      <c r="R351" s="144"/>
    </row>
    <row r="352" spans="2:18">
      <c r="B352" s="142">
        <f t="shared" si="32"/>
        <v>2050</v>
      </c>
      <c r="C352" s="19">
        <f t="shared" si="33"/>
        <v>9</v>
      </c>
      <c r="D352" s="143">
        <v>55032</v>
      </c>
      <c r="E352" s="19" t="str">
        <f t="shared" si="34"/>
        <v>9-2050</v>
      </c>
      <c r="F352" s="214">
        <v>4.9486453327807398</v>
      </c>
      <c r="G352" s="214">
        <v>2.558002578305385</v>
      </c>
      <c r="H352" s="214">
        <v>7.5066479110861248</v>
      </c>
      <c r="I352" s="214">
        <v>5.1844017047734363</v>
      </c>
      <c r="J352" s="214">
        <v>4.2282763910752452</v>
      </c>
      <c r="K352" s="214">
        <v>9.4126780958486815</v>
      </c>
      <c r="L352" s="214">
        <v>5.3745004924142501</v>
      </c>
      <c r="M352" s="214">
        <v>1.9968208078560863</v>
      </c>
      <c r="N352" s="214">
        <v>7.3713213002703366</v>
      </c>
      <c r="P352" s="226">
        <f t="shared" si="35"/>
        <v>5.1691825099894757</v>
      </c>
      <c r="Q352" s="226">
        <f t="shared" si="36"/>
        <v>8.0968824357350471</v>
      </c>
      <c r="R352" s="144"/>
    </row>
    <row r="353" spans="2:18">
      <c r="B353" s="142">
        <f t="shared" si="32"/>
        <v>2050</v>
      </c>
      <c r="C353" s="19">
        <f t="shared" si="33"/>
        <v>10</v>
      </c>
      <c r="D353" s="143">
        <v>55062</v>
      </c>
      <c r="E353" s="19" t="str">
        <f t="shared" si="34"/>
        <v>10-2050</v>
      </c>
      <c r="F353" s="214">
        <v>4.920166493083669</v>
      </c>
      <c r="G353" s="214">
        <v>2.558002578305385</v>
      </c>
      <c r="H353" s="214">
        <v>7.4781690713890541</v>
      </c>
      <c r="I353" s="214">
        <v>5.1544851801803802</v>
      </c>
      <c r="J353" s="214">
        <v>4.2282763910752452</v>
      </c>
      <c r="K353" s="214">
        <v>9.3827615712556245</v>
      </c>
      <c r="L353" s="214">
        <v>5.3434893829868537</v>
      </c>
      <c r="M353" s="214">
        <v>1.9968208078560863</v>
      </c>
      <c r="N353" s="214">
        <v>7.3403101908429402</v>
      </c>
      <c r="P353" s="226">
        <f t="shared" si="35"/>
        <v>5.1393803520836343</v>
      </c>
      <c r="Q353" s="226">
        <f t="shared" si="36"/>
        <v>8.0670802778292057</v>
      </c>
      <c r="R353" s="144"/>
    </row>
    <row r="354" spans="2:18">
      <c r="B354" s="142">
        <f t="shared" si="32"/>
        <v>2050</v>
      </c>
      <c r="C354" s="19">
        <f t="shared" si="33"/>
        <v>11</v>
      </c>
      <c r="D354" s="143">
        <v>55093</v>
      </c>
      <c r="E354" s="19" t="str">
        <f t="shared" si="34"/>
        <v>11-2050</v>
      </c>
      <c r="F354" s="214">
        <v>5.1633944243516003</v>
      </c>
      <c r="G354" s="214">
        <v>2.558002578305385</v>
      </c>
      <c r="H354" s="214">
        <v>7.7213970026569854</v>
      </c>
      <c r="I354" s="214">
        <v>5.4092116888563186</v>
      </c>
      <c r="J354" s="214">
        <v>4.2282763910752452</v>
      </c>
      <c r="K354" s="214">
        <v>9.6374880799315648</v>
      </c>
      <c r="L354" s="214">
        <v>5.6075586761382068</v>
      </c>
      <c r="M354" s="214">
        <v>1.9968208078560863</v>
      </c>
      <c r="N354" s="214">
        <v>7.6043794839942933</v>
      </c>
      <c r="P354" s="226">
        <f t="shared" si="35"/>
        <v>5.3933882631153756</v>
      </c>
      <c r="Q354" s="226">
        <f t="shared" si="36"/>
        <v>8.3210881888609478</v>
      </c>
      <c r="R354" s="144"/>
    </row>
    <row r="355" spans="2:18">
      <c r="B355" s="142">
        <f t="shared" si="32"/>
        <v>2050</v>
      </c>
      <c r="C355" s="19">
        <f t="shared" si="33"/>
        <v>12</v>
      </c>
      <c r="D355" s="143">
        <v>55123</v>
      </c>
      <c r="E355" s="19" t="str">
        <f t="shared" si="34"/>
        <v>12-2050</v>
      </c>
      <c r="F355" s="214">
        <v>5.2049660065617358</v>
      </c>
      <c r="G355" s="214">
        <v>2.558002578305385</v>
      </c>
      <c r="H355" s="214">
        <v>7.7629685848671208</v>
      </c>
      <c r="I355" s="214">
        <v>5.4526767650814403</v>
      </c>
      <c r="J355" s="214">
        <v>4.2282763910752452</v>
      </c>
      <c r="K355" s="214">
        <v>9.6809531561566864</v>
      </c>
      <c r="L355" s="214">
        <v>5.6526200618347575</v>
      </c>
      <c r="M355" s="214">
        <v>1.9968208078560863</v>
      </c>
      <c r="N355" s="214">
        <v>7.649440869690844</v>
      </c>
      <c r="P355" s="226">
        <f t="shared" si="35"/>
        <v>5.436754277825977</v>
      </c>
      <c r="Q355" s="226">
        <f t="shared" si="36"/>
        <v>8.3644542035715492</v>
      </c>
      <c r="R355" s="144"/>
    </row>
    <row r="356" spans="2:18">
      <c r="B356" s="142">
        <f t="shared" si="32"/>
        <v>2051</v>
      </c>
      <c r="C356" s="19">
        <f t="shared" si="33"/>
        <v>1</v>
      </c>
      <c r="D356" s="143">
        <v>55154</v>
      </c>
      <c r="E356" s="19" t="str">
        <f t="shared" si="34"/>
        <v>1-2051</v>
      </c>
      <c r="F356" s="214">
        <v>5.2053259801016827</v>
      </c>
      <c r="G356" s="214">
        <v>2.6599770739332742</v>
      </c>
      <c r="H356" s="214">
        <v>7.8653030540349569</v>
      </c>
      <c r="I356" s="214">
        <v>5.4529726694238363</v>
      </c>
      <c r="J356" s="214">
        <v>4.3974074467182556</v>
      </c>
      <c r="K356" s="214">
        <v>9.850380116142091</v>
      </c>
      <c r="L356" s="214">
        <v>5.652929621917937</v>
      </c>
      <c r="M356" s="214">
        <v>2.0766936401703293</v>
      </c>
      <c r="N356" s="214">
        <v>7.7296232620882659</v>
      </c>
      <c r="P356" s="226">
        <f t="shared" si="35"/>
        <v>5.4370760904811526</v>
      </c>
      <c r="Q356" s="226">
        <f t="shared" si="36"/>
        <v>8.4817688107551046</v>
      </c>
      <c r="R356" s="144"/>
    </row>
    <row r="357" spans="2:18">
      <c r="B357" s="142">
        <f t="shared" si="32"/>
        <v>2051</v>
      </c>
      <c r="C357" s="19">
        <f t="shared" si="33"/>
        <v>2</v>
      </c>
      <c r="D357" s="143">
        <v>55185</v>
      </c>
      <c r="E357" s="19" t="str">
        <f t="shared" si="34"/>
        <v>2-2051</v>
      </c>
      <c r="F357" s="214">
        <v>5.0912536924087508</v>
      </c>
      <c r="G357" s="214">
        <v>2.6599770739332742</v>
      </c>
      <c r="H357" s="214">
        <v>7.751230766342025</v>
      </c>
      <c r="I357" s="214">
        <v>5.333393893982354</v>
      </c>
      <c r="J357" s="214">
        <v>4.3974074467182556</v>
      </c>
      <c r="K357" s="214">
        <v>9.7308013407006086</v>
      </c>
      <c r="L357" s="214">
        <v>5.5289687147533506</v>
      </c>
      <c r="M357" s="214">
        <v>2.0766936401703293</v>
      </c>
      <c r="N357" s="214">
        <v>7.6056623549236804</v>
      </c>
      <c r="P357" s="226">
        <f t="shared" si="35"/>
        <v>5.3178721003814848</v>
      </c>
      <c r="Q357" s="226">
        <f t="shared" si="36"/>
        <v>8.3625648206554377</v>
      </c>
      <c r="R357" s="144"/>
    </row>
    <row r="358" spans="2:18">
      <c r="B358" s="142">
        <f t="shared" si="32"/>
        <v>2051</v>
      </c>
      <c r="C358" s="19">
        <f t="shared" si="33"/>
        <v>3</v>
      </c>
      <c r="D358" s="143">
        <v>55213</v>
      </c>
      <c r="E358" s="19" t="str">
        <f t="shared" si="34"/>
        <v>3-2051</v>
      </c>
      <c r="F358" s="214">
        <v>4.6738343794614421</v>
      </c>
      <c r="G358" s="214">
        <v>2.6599770739332742</v>
      </c>
      <c r="H358" s="214">
        <v>7.3338114533947163</v>
      </c>
      <c r="I358" s="214">
        <v>4.8960491853193169</v>
      </c>
      <c r="J358" s="214">
        <v>4.3974074467182556</v>
      </c>
      <c r="K358" s="214">
        <v>9.2934566320375716</v>
      </c>
      <c r="L358" s="214">
        <v>5.0755891549836578</v>
      </c>
      <c r="M358" s="214">
        <v>2.0766936401703293</v>
      </c>
      <c r="N358" s="214">
        <v>7.1522827951539867</v>
      </c>
      <c r="P358" s="226">
        <f t="shared" si="35"/>
        <v>4.881824239921472</v>
      </c>
      <c r="Q358" s="226">
        <f t="shared" si="36"/>
        <v>7.9265169601954248</v>
      </c>
      <c r="R358" s="144"/>
    </row>
    <row r="359" spans="2:18">
      <c r="B359" s="142">
        <f t="shared" si="32"/>
        <v>2051</v>
      </c>
      <c r="C359" s="19">
        <f t="shared" si="33"/>
        <v>4</v>
      </c>
      <c r="D359" s="143">
        <v>55244</v>
      </c>
      <c r="E359" s="19" t="str">
        <f t="shared" si="34"/>
        <v>4-2051</v>
      </c>
      <c r="F359" s="214">
        <v>4.5943560286298686</v>
      </c>
      <c r="G359" s="214">
        <v>2.6599770739332742</v>
      </c>
      <c r="H359" s="214">
        <v>7.2543331025631428</v>
      </c>
      <c r="I359" s="214">
        <v>4.81272039813883</v>
      </c>
      <c r="J359" s="214">
        <v>4.3974074467182556</v>
      </c>
      <c r="K359" s="214">
        <v>9.2101278448570856</v>
      </c>
      <c r="L359" s="214">
        <v>4.9892071463358771</v>
      </c>
      <c r="M359" s="214">
        <v>2.0766936401703293</v>
      </c>
      <c r="N359" s="214">
        <v>7.0659007865062069</v>
      </c>
      <c r="P359" s="226">
        <f t="shared" si="35"/>
        <v>4.7987611910348589</v>
      </c>
      <c r="Q359" s="226">
        <f t="shared" si="36"/>
        <v>7.8434539113088109</v>
      </c>
      <c r="R359" s="144"/>
    </row>
    <row r="360" spans="2:18">
      <c r="B360" s="142">
        <f t="shared" si="32"/>
        <v>2051</v>
      </c>
      <c r="C360" s="19">
        <f t="shared" si="33"/>
        <v>5</v>
      </c>
      <c r="D360" s="143">
        <v>55274</v>
      </c>
      <c r="E360" s="19" t="str">
        <f t="shared" si="34"/>
        <v>5-2051</v>
      </c>
      <c r="F360" s="214">
        <v>4.75430393612075</v>
      </c>
      <c r="G360" s="214">
        <v>2.6599770739332742</v>
      </c>
      <c r="H360" s="214">
        <v>7.4142810100540242</v>
      </c>
      <c r="I360" s="214">
        <v>4.9801962592502385</v>
      </c>
      <c r="J360" s="214">
        <v>4.3974074467182556</v>
      </c>
      <c r="K360" s="214">
        <v>9.3776037059684931</v>
      </c>
      <c r="L360" s="214">
        <v>5.1628270595954966</v>
      </c>
      <c r="M360" s="214">
        <v>2.0766936401703293</v>
      </c>
      <c r="N360" s="214">
        <v>7.2395206997658264</v>
      </c>
      <c r="P360" s="226">
        <f t="shared" si="35"/>
        <v>4.965775751655495</v>
      </c>
      <c r="Q360" s="226">
        <f t="shared" si="36"/>
        <v>8.0104684719294479</v>
      </c>
      <c r="R360" s="144"/>
    </row>
    <row r="361" spans="2:18">
      <c r="B361" s="142">
        <f t="shared" si="32"/>
        <v>2051</v>
      </c>
      <c r="C361" s="19">
        <f t="shared" si="33"/>
        <v>6</v>
      </c>
      <c r="D361" s="143">
        <v>55305</v>
      </c>
      <c r="E361" s="19" t="str">
        <f t="shared" si="34"/>
        <v>6-2051</v>
      </c>
      <c r="F361" s="214">
        <v>4.8772652295507068</v>
      </c>
      <c r="G361" s="214">
        <v>2.6599770739332742</v>
      </c>
      <c r="H361" s="214">
        <v>7.5372423034839811</v>
      </c>
      <c r="I361" s="214">
        <v>5.1089237338472886</v>
      </c>
      <c r="J361" s="214">
        <v>4.3974074467182556</v>
      </c>
      <c r="K361" s="214">
        <v>9.5063311805655442</v>
      </c>
      <c r="L361" s="214">
        <v>5.2962777811945863</v>
      </c>
      <c r="M361" s="214">
        <v>2.0766936401703293</v>
      </c>
      <c r="N361" s="214">
        <v>7.372971421364916</v>
      </c>
      <c r="P361" s="226">
        <f t="shared" si="35"/>
        <v>5.0941555815308606</v>
      </c>
      <c r="Q361" s="226">
        <f t="shared" si="36"/>
        <v>8.1388483018048134</v>
      </c>
      <c r="R361" s="144"/>
    </row>
    <row r="362" spans="2:18">
      <c r="B362" s="142">
        <f t="shared" si="32"/>
        <v>2051</v>
      </c>
      <c r="C362" s="19">
        <f t="shared" si="33"/>
        <v>7</v>
      </c>
      <c r="D362" s="143">
        <v>55335</v>
      </c>
      <c r="E362" s="19" t="str">
        <f t="shared" si="34"/>
        <v>7-2051</v>
      </c>
      <c r="F362" s="214">
        <v>4.9160121002771788</v>
      </c>
      <c r="G362" s="214">
        <v>2.6599770739332742</v>
      </c>
      <c r="H362" s="214">
        <v>7.575989174210453</v>
      </c>
      <c r="I362" s="214">
        <v>5.1494342727552027</v>
      </c>
      <c r="J362" s="214">
        <v>4.3974074467182556</v>
      </c>
      <c r="K362" s="214">
        <v>9.5468417194734592</v>
      </c>
      <c r="L362" s="214">
        <v>5.338276569958806</v>
      </c>
      <c r="M362" s="214">
        <v>2.0766936401703293</v>
      </c>
      <c r="N362" s="214">
        <v>7.4149702101291357</v>
      </c>
      <c r="P362" s="226">
        <f t="shared" si="35"/>
        <v>5.1345743143303961</v>
      </c>
      <c r="Q362" s="226">
        <f t="shared" si="36"/>
        <v>8.179267034604349</v>
      </c>
      <c r="R362" s="144"/>
    </row>
    <row r="363" spans="2:18">
      <c r="B363" s="142">
        <f t="shared" si="32"/>
        <v>2051</v>
      </c>
      <c r="C363" s="19">
        <f t="shared" si="33"/>
        <v>8</v>
      </c>
      <c r="D363" s="143">
        <v>55366</v>
      </c>
      <c r="E363" s="19" t="str">
        <f t="shared" si="34"/>
        <v>8-2051</v>
      </c>
      <c r="F363" s="214">
        <v>4.8780934534317186</v>
      </c>
      <c r="G363" s="214">
        <v>2.6599770739332742</v>
      </c>
      <c r="H363" s="214">
        <v>7.5380705273649928</v>
      </c>
      <c r="I363" s="214">
        <v>5.1096390430134058</v>
      </c>
      <c r="J363" s="214">
        <v>4.3974074467182556</v>
      </c>
      <c r="K363" s="214">
        <v>9.5070464897316604</v>
      </c>
      <c r="L363" s="214">
        <v>5.2970245825462454</v>
      </c>
      <c r="M363" s="214">
        <v>2.0766936401703293</v>
      </c>
      <c r="N363" s="214">
        <v>7.3737182227165743</v>
      </c>
      <c r="P363" s="226">
        <f t="shared" si="35"/>
        <v>5.094919026330456</v>
      </c>
      <c r="Q363" s="226">
        <f t="shared" si="36"/>
        <v>8.1396117466044089</v>
      </c>
      <c r="R363" s="144"/>
    </row>
    <row r="364" spans="2:18">
      <c r="B364" s="142">
        <f t="shared" si="32"/>
        <v>2051</v>
      </c>
      <c r="C364" s="19">
        <f t="shared" si="33"/>
        <v>9</v>
      </c>
      <c r="D364" s="143">
        <v>55397</v>
      </c>
      <c r="E364" s="19" t="str">
        <f t="shared" si="34"/>
        <v>9-2051</v>
      </c>
      <c r="F364" s="214">
        <v>4.9467619504051763</v>
      </c>
      <c r="G364" s="214">
        <v>2.6599770739332742</v>
      </c>
      <c r="H364" s="214">
        <v>7.6067390243384505</v>
      </c>
      <c r="I364" s="214">
        <v>5.1814897816183505</v>
      </c>
      <c r="J364" s="214">
        <v>4.3974074467182556</v>
      </c>
      <c r="K364" s="214">
        <v>9.5788972283366061</v>
      </c>
      <c r="L364" s="214">
        <v>5.3715129672934703</v>
      </c>
      <c r="M364" s="214">
        <v>2.0766936401703293</v>
      </c>
      <c r="N364" s="214">
        <v>7.4482066074637991</v>
      </c>
      <c r="P364" s="226">
        <f t="shared" si="35"/>
        <v>5.1665882331056663</v>
      </c>
      <c r="Q364" s="226">
        <f t="shared" si="36"/>
        <v>8.2112809533796192</v>
      </c>
      <c r="R364" s="144"/>
    </row>
    <row r="365" spans="2:18">
      <c r="B365" s="142">
        <f t="shared" si="32"/>
        <v>2051</v>
      </c>
      <c r="C365" s="19">
        <f t="shared" si="33"/>
        <v>10</v>
      </c>
      <c r="D365" s="143">
        <v>55427</v>
      </c>
      <c r="E365" s="19" t="str">
        <f t="shared" si="34"/>
        <v>10-2051</v>
      </c>
      <c r="F365" s="214">
        <v>4.9183097469128798</v>
      </c>
      <c r="G365" s="214">
        <v>2.6599770739332742</v>
      </c>
      <c r="H365" s="214">
        <v>7.578286820846154</v>
      </c>
      <c r="I365" s="214">
        <v>5.1516107320317319</v>
      </c>
      <c r="J365" s="214">
        <v>4.3974074467182556</v>
      </c>
      <c r="K365" s="214">
        <v>9.5490181787499875</v>
      </c>
      <c r="L365" s="214">
        <v>5.3405408018437415</v>
      </c>
      <c r="M365" s="214">
        <v>2.0766936401703293</v>
      </c>
      <c r="N365" s="214">
        <v>7.4172344420140703</v>
      </c>
      <c r="P365" s="226">
        <f t="shared" si="35"/>
        <v>5.1368204269294511</v>
      </c>
      <c r="Q365" s="226">
        <f t="shared" si="36"/>
        <v>8.1815131472034039</v>
      </c>
      <c r="R365" s="144"/>
    </row>
    <row r="366" spans="2:18">
      <c r="B366" s="142">
        <f t="shared" si="32"/>
        <v>2051</v>
      </c>
      <c r="C366" s="19">
        <f t="shared" si="33"/>
        <v>11</v>
      </c>
      <c r="D366" s="143">
        <v>55458</v>
      </c>
      <c r="E366" s="19" t="str">
        <f t="shared" si="34"/>
        <v>11-2051</v>
      </c>
      <c r="F366" s="214">
        <v>5.1614624697784928</v>
      </c>
      <c r="G366" s="214">
        <v>2.6599770739332742</v>
      </c>
      <c r="H366" s="214">
        <v>7.821439543711767</v>
      </c>
      <c r="I366" s="214">
        <v>5.4062168855447048</v>
      </c>
      <c r="J366" s="214">
        <v>4.3974074467182556</v>
      </c>
      <c r="K366" s="214">
        <v>9.8036243322629595</v>
      </c>
      <c r="L366" s="214">
        <v>5.6044871601507582</v>
      </c>
      <c r="M366" s="214">
        <v>2.0766936401703293</v>
      </c>
      <c r="N366" s="214">
        <v>7.6811808003210871</v>
      </c>
      <c r="P366" s="226">
        <f t="shared" si="35"/>
        <v>5.3907221718246516</v>
      </c>
      <c r="Q366" s="226">
        <f t="shared" si="36"/>
        <v>8.4354148920986045</v>
      </c>
      <c r="R366" s="144"/>
    </row>
    <row r="367" spans="2:18">
      <c r="B367" s="142">
        <f t="shared" si="32"/>
        <v>2051</v>
      </c>
      <c r="C367" s="19">
        <f t="shared" si="33"/>
        <v>12</v>
      </c>
      <c r="D367" s="143">
        <v>55488</v>
      </c>
      <c r="E367" s="19" t="str">
        <f t="shared" si="34"/>
        <v>12-2051</v>
      </c>
      <c r="F367" s="214">
        <v>5.2030352116967293</v>
      </c>
      <c r="G367" s="214">
        <v>2.6599770739332742</v>
      </c>
      <c r="H367" s="214">
        <v>7.8630122856300035</v>
      </c>
      <c r="I367" s="214">
        <v>5.4496797694165862</v>
      </c>
      <c r="J367" s="214">
        <v>4.3974074467182556</v>
      </c>
      <c r="K367" s="214">
        <v>9.8470872161348417</v>
      </c>
      <c r="L367" s="214">
        <v>5.649546829750606</v>
      </c>
      <c r="M367" s="214">
        <v>2.0766936401703293</v>
      </c>
      <c r="N367" s="214">
        <v>7.7262404699209348</v>
      </c>
      <c r="P367" s="226">
        <f t="shared" si="35"/>
        <v>5.4340872702879741</v>
      </c>
      <c r="Q367" s="226">
        <f t="shared" si="36"/>
        <v>8.478779990561927</v>
      </c>
      <c r="R367" s="144"/>
    </row>
    <row r="368" spans="2:18">
      <c r="B368" s="142">
        <f t="shared" si="32"/>
        <v>2052</v>
      </c>
      <c r="C368" s="19">
        <f t="shared" si="33"/>
        <v>1</v>
      </c>
      <c r="D368" s="143">
        <v>55519</v>
      </c>
      <c r="E368" s="19" t="str">
        <f t="shared" si="34"/>
        <v>1-2052</v>
      </c>
      <c r="F368" s="214">
        <v>5.2033907124095311</v>
      </c>
      <c r="G368" s="214">
        <v>2.7660168279004642</v>
      </c>
      <c r="H368" s="214">
        <v>7.9694075403099953</v>
      </c>
      <c r="I368" s="214">
        <v>5.4499726700119906</v>
      </c>
      <c r="J368" s="214">
        <v>4.573303744586986</v>
      </c>
      <c r="K368" s="214">
        <v>10.023276414598977</v>
      </c>
      <c r="L368" s="214">
        <v>5.6498524863954165</v>
      </c>
      <c r="M368" s="214">
        <v>2.1597613857771427</v>
      </c>
      <c r="N368" s="214">
        <v>7.8096138721725588</v>
      </c>
      <c r="P368" s="226">
        <f t="shared" si="35"/>
        <v>5.4344052896056461</v>
      </c>
      <c r="Q368" s="226">
        <f t="shared" si="36"/>
        <v>8.6007659423605105</v>
      </c>
      <c r="R368" s="144"/>
    </row>
    <row r="369" spans="2:18">
      <c r="B369" s="142">
        <f t="shared" si="32"/>
        <v>2052</v>
      </c>
      <c r="C369" s="19">
        <f t="shared" si="33"/>
        <v>2</v>
      </c>
      <c r="D369" s="143">
        <v>55550</v>
      </c>
      <c r="E369" s="19" t="str">
        <f t="shared" si="34"/>
        <v>2-2052</v>
      </c>
      <c r="F369" s="214">
        <v>5.0893565907413079</v>
      </c>
      <c r="G369" s="214">
        <v>2.7660168279004642</v>
      </c>
      <c r="H369" s="214">
        <v>7.8553734186417721</v>
      </c>
      <c r="I369" s="214">
        <v>5.3304569027949391</v>
      </c>
      <c r="J369" s="214">
        <v>4.573303744586986</v>
      </c>
      <c r="K369" s="214">
        <v>9.903760647381926</v>
      </c>
      <c r="L369" s="214">
        <v>5.5259554029848861</v>
      </c>
      <c r="M369" s="214">
        <v>2.1597613857771427</v>
      </c>
      <c r="N369" s="214">
        <v>7.6857167887620292</v>
      </c>
      <c r="P369" s="226">
        <f t="shared" si="35"/>
        <v>5.3152562988403771</v>
      </c>
      <c r="Q369" s="226">
        <f t="shared" si="36"/>
        <v>8.4816169515952424</v>
      </c>
      <c r="R369" s="144"/>
    </row>
    <row r="370" spans="2:18">
      <c r="B370" s="142">
        <f t="shared" si="32"/>
        <v>2052</v>
      </c>
      <c r="C370" s="19">
        <f t="shared" si="33"/>
        <v>3</v>
      </c>
      <c r="D370" s="143">
        <v>55579</v>
      </c>
      <c r="E370" s="19" t="str">
        <f t="shared" si="34"/>
        <v>3-2052</v>
      </c>
      <c r="F370" s="214">
        <v>4.6720889197623769</v>
      </c>
      <c r="G370" s="214">
        <v>2.7660168279004642</v>
      </c>
      <c r="H370" s="214">
        <v>7.4381057476628412</v>
      </c>
      <c r="I370" s="214">
        <v>4.8933504795326446</v>
      </c>
      <c r="J370" s="214">
        <v>4.573303744586986</v>
      </c>
      <c r="K370" s="214">
        <v>9.4666542241196296</v>
      </c>
      <c r="L370" s="214">
        <v>5.0728195827585738</v>
      </c>
      <c r="M370" s="214">
        <v>2.1597613857771427</v>
      </c>
      <c r="N370" s="214">
        <v>7.2325809685357161</v>
      </c>
      <c r="P370" s="226">
        <f t="shared" si="35"/>
        <v>4.8794196606845324</v>
      </c>
      <c r="Q370" s="226">
        <f t="shared" si="36"/>
        <v>8.0457803134393959</v>
      </c>
      <c r="R370" s="144"/>
    </row>
    <row r="371" spans="2:18">
      <c r="B371" s="142">
        <f t="shared" si="32"/>
        <v>2052</v>
      </c>
      <c r="C371" s="19">
        <f t="shared" si="33"/>
        <v>4</v>
      </c>
      <c r="D371" s="143">
        <v>55610</v>
      </c>
      <c r="E371" s="19" t="str">
        <f t="shared" si="34"/>
        <v>4-2052</v>
      </c>
      <c r="F371" s="214">
        <v>4.5926364197130134</v>
      </c>
      <c r="G371" s="214">
        <v>2.7660168279004642</v>
      </c>
      <c r="H371" s="214">
        <v>7.3586532476134776</v>
      </c>
      <c r="I371" s="214">
        <v>4.8100651150267941</v>
      </c>
      <c r="J371" s="214">
        <v>4.573303744586986</v>
      </c>
      <c r="K371" s="214">
        <v>9.3833688596137801</v>
      </c>
      <c r="L371" s="214">
        <v>4.9864814122823278</v>
      </c>
      <c r="M371" s="214">
        <v>2.1597613857771427</v>
      </c>
      <c r="N371" s="214">
        <v>7.14624279805947</v>
      </c>
      <c r="P371" s="226">
        <f t="shared" si="35"/>
        <v>4.7963943156740454</v>
      </c>
      <c r="Q371" s="226">
        <f t="shared" si="36"/>
        <v>7.9627549684289081</v>
      </c>
      <c r="R371" s="144"/>
    </row>
    <row r="372" spans="2:18">
      <c r="B372" s="142">
        <f t="shared" si="32"/>
        <v>2052</v>
      </c>
      <c r="C372" s="19">
        <f t="shared" si="33"/>
        <v>5</v>
      </c>
      <c r="D372" s="143">
        <v>55640</v>
      </c>
      <c r="E372" s="19" t="str">
        <f t="shared" si="34"/>
        <v>5-2052</v>
      </c>
      <c r="F372" s="214">
        <v>4.7525204964494998</v>
      </c>
      <c r="G372" s="214">
        <v>2.7660168279004642</v>
      </c>
      <c r="H372" s="214">
        <v>7.518537324349964</v>
      </c>
      <c r="I372" s="214">
        <v>4.9774459803103781</v>
      </c>
      <c r="J372" s="214">
        <v>4.573303744586986</v>
      </c>
      <c r="K372" s="214">
        <v>9.550749724897365</v>
      </c>
      <c r="L372" s="214">
        <v>5.1600030599121869</v>
      </c>
      <c r="M372" s="214">
        <v>2.1597613857771427</v>
      </c>
      <c r="N372" s="214">
        <v>7.31976444568933</v>
      </c>
      <c r="P372" s="226">
        <f t="shared" si="35"/>
        <v>4.963323178890688</v>
      </c>
      <c r="Q372" s="226">
        <f t="shared" si="36"/>
        <v>8.1296838316455524</v>
      </c>
      <c r="R372" s="144"/>
    </row>
    <row r="373" spans="2:18">
      <c r="B373" s="142">
        <f t="shared" si="32"/>
        <v>2052</v>
      </c>
      <c r="C373" s="19">
        <f t="shared" si="33"/>
        <v>6</v>
      </c>
      <c r="D373" s="143">
        <v>55671</v>
      </c>
      <c r="E373" s="19" t="str">
        <f t="shared" si="34"/>
        <v>6-2052</v>
      </c>
      <c r="F373" s="214">
        <v>4.8754315974337903</v>
      </c>
      <c r="G373" s="214">
        <v>2.7660168279004642</v>
      </c>
      <c r="H373" s="214">
        <v>7.6414484253342545</v>
      </c>
      <c r="I373" s="214">
        <v>5.1060997029796873</v>
      </c>
      <c r="J373" s="214">
        <v>4.573303744586986</v>
      </c>
      <c r="K373" s="214">
        <v>9.6794034475666741</v>
      </c>
      <c r="L373" s="214">
        <v>5.2933772846244969</v>
      </c>
      <c r="M373" s="214">
        <v>2.1597613857771427</v>
      </c>
      <c r="N373" s="214">
        <v>7.4531386704016391</v>
      </c>
      <c r="P373" s="226">
        <f t="shared" si="35"/>
        <v>5.0916361950126579</v>
      </c>
      <c r="Q373" s="226">
        <f t="shared" si="36"/>
        <v>8.2579968477675223</v>
      </c>
      <c r="R373" s="144"/>
    </row>
    <row r="374" spans="2:18">
      <c r="B374" s="142">
        <f t="shared" si="32"/>
        <v>2052</v>
      </c>
      <c r="C374" s="19">
        <f t="shared" si="33"/>
        <v>7</v>
      </c>
      <c r="D374" s="143">
        <v>55701</v>
      </c>
      <c r="E374" s="19" t="str">
        <f t="shared" si="34"/>
        <v>7-2052</v>
      </c>
      <c r="F374" s="214">
        <v>4.9141598014463161</v>
      </c>
      <c r="G374" s="214">
        <v>2.7660168279004642</v>
      </c>
      <c r="H374" s="214">
        <v>7.6801766293467804</v>
      </c>
      <c r="I374" s="214">
        <v>5.1465851646735663</v>
      </c>
      <c r="J374" s="214">
        <v>4.573303744586986</v>
      </c>
      <c r="K374" s="214">
        <v>9.7198889092605523</v>
      </c>
      <c r="L374" s="214">
        <v>5.335349543681521</v>
      </c>
      <c r="M374" s="214">
        <v>2.1597613857771427</v>
      </c>
      <c r="N374" s="214">
        <v>7.4951109294586633</v>
      </c>
      <c r="P374" s="226">
        <f t="shared" si="35"/>
        <v>5.1320315032671351</v>
      </c>
      <c r="Q374" s="226">
        <f t="shared" si="36"/>
        <v>8.2983921560219986</v>
      </c>
      <c r="R374" s="144"/>
    </row>
    <row r="375" spans="2:18">
      <c r="B375" s="142">
        <f t="shared" si="32"/>
        <v>2052</v>
      </c>
      <c r="C375" s="19">
        <f t="shared" si="33"/>
        <v>8</v>
      </c>
      <c r="D375" s="143">
        <v>55732</v>
      </c>
      <c r="E375" s="19" t="str">
        <f t="shared" si="34"/>
        <v>8-2052</v>
      </c>
      <c r="F375" s="214">
        <v>4.8762513736613</v>
      </c>
      <c r="G375" s="214">
        <v>2.7660168279004642</v>
      </c>
      <c r="H375" s="214">
        <v>7.6422682015617642</v>
      </c>
      <c r="I375" s="214">
        <v>5.1068092891300347</v>
      </c>
      <c r="J375" s="214">
        <v>4.573303744586986</v>
      </c>
      <c r="K375" s="214">
        <v>9.6801130337170207</v>
      </c>
      <c r="L375" s="214">
        <v>5.2941166729190048</v>
      </c>
      <c r="M375" s="214">
        <v>2.1597613857771427</v>
      </c>
      <c r="N375" s="214">
        <v>7.4538780586961479</v>
      </c>
      <c r="P375" s="226">
        <f t="shared" si="35"/>
        <v>5.0923924452367801</v>
      </c>
      <c r="Q375" s="226">
        <f t="shared" si="36"/>
        <v>8.2587530979916437</v>
      </c>
      <c r="R375" s="144"/>
    </row>
    <row r="376" spans="2:18">
      <c r="B376" s="142">
        <f t="shared" ref="B376:B415" si="37">YEAR(D376)</f>
        <v>2052</v>
      </c>
      <c r="C376" s="19">
        <f t="shared" ref="C376:C415" si="38">MONTH(D376)</f>
        <v>9</v>
      </c>
      <c r="D376" s="143">
        <v>55763</v>
      </c>
      <c r="E376" s="19" t="str">
        <f t="shared" si="34"/>
        <v>9-2052</v>
      </c>
      <c r="F376" s="214">
        <v>4.9448898140493158</v>
      </c>
      <c r="G376" s="214">
        <v>2.7660168279004642</v>
      </c>
      <c r="H376" s="214">
        <v>7.71090664194978</v>
      </c>
      <c r="I376" s="214">
        <v>5.1786175346543111</v>
      </c>
      <c r="J376" s="214">
        <v>4.573303744586986</v>
      </c>
      <c r="K376" s="214">
        <v>9.7519212792412979</v>
      </c>
      <c r="L376" s="214">
        <v>5.3685606139829396</v>
      </c>
      <c r="M376" s="214">
        <v>2.1597613857771427</v>
      </c>
      <c r="N376" s="214">
        <v>7.5283219997600828</v>
      </c>
      <c r="P376" s="226">
        <f t="shared" si="35"/>
        <v>5.1640226542288552</v>
      </c>
      <c r="Q376" s="226">
        <f t="shared" si="36"/>
        <v>8.3303833069837196</v>
      </c>
      <c r="R376" s="144"/>
    </row>
    <row r="377" spans="2:18">
      <c r="B377" s="142">
        <f t="shared" si="37"/>
        <v>2052</v>
      </c>
      <c r="C377" s="19">
        <f t="shared" si="38"/>
        <v>10</v>
      </c>
      <c r="D377" s="143">
        <v>55793</v>
      </c>
      <c r="E377" s="19" t="str">
        <f t="shared" si="34"/>
        <v>10-2052</v>
      </c>
      <c r="F377" s="214">
        <v>4.9164442761783871</v>
      </c>
      <c r="G377" s="214">
        <v>2.7660168279004642</v>
      </c>
      <c r="H377" s="214">
        <v>7.6824611040788513</v>
      </c>
      <c r="I377" s="214">
        <v>5.1487523615679232</v>
      </c>
      <c r="J377" s="214">
        <v>4.573303744586986</v>
      </c>
      <c r="K377" s="214">
        <v>9.7220561061549091</v>
      </c>
      <c r="L377" s="214">
        <v>5.3376019402076862</v>
      </c>
      <c r="M377" s="214">
        <v>2.1597613857771427</v>
      </c>
      <c r="N377" s="214">
        <v>7.4973633259848285</v>
      </c>
      <c r="P377" s="226">
        <f t="shared" si="35"/>
        <v>5.1342661926513324</v>
      </c>
      <c r="Q377" s="226">
        <f t="shared" si="36"/>
        <v>8.300626845406196</v>
      </c>
      <c r="R377" s="144"/>
    </row>
    <row r="378" spans="2:18">
      <c r="B378" s="142">
        <f t="shared" si="37"/>
        <v>2052</v>
      </c>
      <c r="C378" s="19">
        <f t="shared" si="38"/>
        <v>11</v>
      </c>
      <c r="D378" s="143">
        <v>55824</v>
      </c>
      <c r="E378" s="19" t="str">
        <f t="shared" si="34"/>
        <v>11-2052</v>
      </c>
      <c r="F378" s="214">
        <v>5.1595004680092584</v>
      </c>
      <c r="G378" s="214">
        <v>2.7660168279004642</v>
      </c>
      <c r="H378" s="214">
        <v>7.9255172959097226</v>
      </c>
      <c r="I378" s="214">
        <v>5.4032144275654046</v>
      </c>
      <c r="J378" s="214">
        <v>4.573303744586986</v>
      </c>
      <c r="K378" s="214">
        <v>9.9765181721523906</v>
      </c>
      <c r="L378" s="214">
        <v>5.6013993442244301</v>
      </c>
      <c r="M378" s="214">
        <v>2.1597613857771427</v>
      </c>
      <c r="N378" s="214">
        <v>7.7611607300015724</v>
      </c>
      <c r="P378" s="226">
        <f t="shared" si="35"/>
        <v>5.3880380799330316</v>
      </c>
      <c r="Q378" s="226">
        <f t="shared" si="36"/>
        <v>8.5543987326878952</v>
      </c>
      <c r="R378" s="144"/>
    </row>
    <row r="379" spans="2:18">
      <c r="B379" s="142">
        <f t="shared" si="37"/>
        <v>2052</v>
      </c>
      <c r="C379" s="19">
        <f t="shared" si="38"/>
        <v>12</v>
      </c>
      <c r="D379" s="143">
        <v>55854</v>
      </c>
      <c r="E379" s="19" t="str">
        <f t="shared" si="34"/>
        <v>12-2052</v>
      </c>
      <c r="F379" s="214">
        <v>5.2010530667463915</v>
      </c>
      <c r="G379" s="214">
        <v>2.7660168279004642</v>
      </c>
      <c r="H379" s="214">
        <v>7.9670698946468557</v>
      </c>
      <c r="I379" s="214">
        <v>5.446650331142127</v>
      </c>
      <c r="J379" s="214">
        <v>4.573303744586986</v>
      </c>
      <c r="K379" s="214">
        <v>10.019954075729114</v>
      </c>
      <c r="L379" s="214">
        <v>5.6464304513841856</v>
      </c>
      <c r="M379" s="214">
        <v>2.1597613857771427</v>
      </c>
      <c r="N379" s="214">
        <v>7.8061918371613288</v>
      </c>
      <c r="P379" s="226">
        <f t="shared" si="35"/>
        <v>5.431377949757568</v>
      </c>
      <c r="Q379" s="226">
        <f t="shared" si="36"/>
        <v>8.5977386025124325</v>
      </c>
      <c r="R379" s="144"/>
    </row>
    <row r="380" spans="2:18">
      <c r="B380" s="142">
        <f t="shared" si="37"/>
        <v>2053</v>
      </c>
      <c r="C380" s="19">
        <f t="shared" si="38"/>
        <v>1</v>
      </c>
      <c r="D380" s="143">
        <v>55885</v>
      </c>
      <c r="E380" s="19" t="str">
        <f t="shared" si="34"/>
        <v>1-2053</v>
      </c>
      <c r="F380" s="214">
        <v>5.2014585432750478</v>
      </c>
      <c r="G380" s="214">
        <v>2.8762839057477949</v>
      </c>
      <c r="H380" s="214">
        <v>8.0777424490228427</v>
      </c>
      <c r="I380" s="214">
        <v>5.4470121451439644</v>
      </c>
      <c r="J380" s="214">
        <v>4.7562358943704659</v>
      </c>
      <c r="K380" s="214">
        <v>10.203248039514431</v>
      </c>
      <c r="L380" s="214">
        <v>5.6468062374841432</v>
      </c>
      <c r="M380" s="214">
        <v>2.2461518412082291</v>
      </c>
      <c r="N380" s="214">
        <v>7.8929580786923719</v>
      </c>
      <c r="P380" s="226">
        <f t="shared" si="35"/>
        <v>5.4317589753010518</v>
      </c>
      <c r="Q380" s="226">
        <f t="shared" si="36"/>
        <v>8.7246495224098819</v>
      </c>
      <c r="R380" s="144"/>
    </row>
    <row r="381" spans="2:18">
      <c r="B381" s="142">
        <f t="shared" si="37"/>
        <v>2053</v>
      </c>
      <c r="C381" s="19">
        <f t="shared" si="38"/>
        <v>2</v>
      </c>
      <c r="D381" s="143">
        <v>55916</v>
      </c>
      <c r="E381" s="19" t="str">
        <f t="shared" si="34"/>
        <v>2-2053</v>
      </c>
      <c r="F381" s="214">
        <v>5.0875157819209926</v>
      </c>
      <c r="G381" s="214">
        <v>2.8762839057477949</v>
      </c>
      <c r="H381" s="214">
        <v>7.9637996876687875</v>
      </c>
      <c r="I381" s="214">
        <v>5.32762886875157</v>
      </c>
      <c r="J381" s="214">
        <v>4.7562358943704659</v>
      </c>
      <c r="K381" s="214">
        <v>10.083864763122037</v>
      </c>
      <c r="L381" s="214">
        <v>5.5230447188550968</v>
      </c>
      <c r="M381" s="214">
        <v>2.2461518412082291</v>
      </c>
      <c r="N381" s="214">
        <v>7.7691965600633264</v>
      </c>
      <c r="P381" s="226">
        <f t="shared" si="35"/>
        <v>5.3127297898425532</v>
      </c>
      <c r="Q381" s="226">
        <f t="shared" si="36"/>
        <v>8.6056203369513842</v>
      </c>
      <c r="R381" s="144"/>
    </row>
    <row r="382" spans="2:18">
      <c r="B382" s="142">
        <f t="shared" si="37"/>
        <v>2053</v>
      </c>
      <c r="C382" s="19">
        <f t="shared" si="38"/>
        <v>3</v>
      </c>
      <c r="D382" s="143">
        <v>55944</v>
      </c>
      <c r="E382" s="19" t="str">
        <f t="shared" si="34"/>
        <v>3-2053</v>
      </c>
      <c r="F382" s="214">
        <v>4.6704440359795063</v>
      </c>
      <c r="G382" s="214">
        <v>2.8762839057477949</v>
      </c>
      <c r="H382" s="214">
        <v>7.5467279417273012</v>
      </c>
      <c r="I382" s="214">
        <v>4.8908163817910308</v>
      </c>
      <c r="J382" s="214">
        <v>4.7562358943704659</v>
      </c>
      <c r="K382" s="214">
        <v>9.6470522761614959</v>
      </c>
      <c r="L382" s="214">
        <v>5.0702107086250967</v>
      </c>
      <c r="M382" s="214">
        <v>2.2461518412082291</v>
      </c>
      <c r="N382" s="214">
        <v>7.3163625498333253</v>
      </c>
      <c r="P382" s="226">
        <f t="shared" si="35"/>
        <v>4.877157042131878</v>
      </c>
      <c r="Q382" s="226">
        <f t="shared" si="36"/>
        <v>8.1700475892407081</v>
      </c>
      <c r="R382" s="144"/>
    </row>
    <row r="383" spans="2:18">
      <c r="B383" s="142">
        <f t="shared" si="37"/>
        <v>2053</v>
      </c>
      <c r="C383" s="19">
        <f t="shared" si="38"/>
        <v>4</v>
      </c>
      <c r="D383" s="143">
        <v>55975</v>
      </c>
      <c r="E383" s="19" t="str">
        <f t="shared" si="34"/>
        <v>4-2053</v>
      </c>
      <c r="F383" s="214">
        <v>4.5910637462610833</v>
      </c>
      <c r="G383" s="214">
        <v>2.8762839057477949</v>
      </c>
      <c r="H383" s="214">
        <v>7.4673476520088782</v>
      </c>
      <c r="I383" s="214">
        <v>4.8076351305121694</v>
      </c>
      <c r="J383" s="214">
        <v>4.7562358943704659</v>
      </c>
      <c r="K383" s="214">
        <v>9.5638710248826353</v>
      </c>
      <c r="L383" s="214">
        <v>4.9839790017684402</v>
      </c>
      <c r="M383" s="214">
        <v>2.2461518412082291</v>
      </c>
      <c r="N383" s="214">
        <v>7.2301308429766689</v>
      </c>
      <c r="P383" s="226">
        <f t="shared" si="35"/>
        <v>4.7942259595138976</v>
      </c>
      <c r="Q383" s="226">
        <f t="shared" si="36"/>
        <v>8.0871165066227277</v>
      </c>
      <c r="R383" s="144"/>
    </row>
    <row r="384" spans="2:18">
      <c r="B384" s="142">
        <f t="shared" si="37"/>
        <v>2053</v>
      </c>
      <c r="C384" s="19">
        <f t="shared" si="38"/>
        <v>5</v>
      </c>
      <c r="D384" s="143">
        <v>56005</v>
      </c>
      <c r="E384" s="19" t="str">
        <f t="shared" si="34"/>
        <v>5-2053</v>
      </c>
      <c r="F384" s="214">
        <v>4.7509388540713449</v>
      </c>
      <c r="G384" s="214">
        <v>2.8762839057477949</v>
      </c>
      <c r="H384" s="214">
        <v>7.6272227598191398</v>
      </c>
      <c r="I384" s="214">
        <v>4.9749945476112547</v>
      </c>
      <c r="J384" s="214">
        <v>4.7562358943704659</v>
      </c>
      <c r="K384" s="214">
        <v>9.7312304419817206</v>
      </c>
      <c r="L384" s="214">
        <v>5.1574777962256029</v>
      </c>
      <c r="M384" s="214">
        <v>2.2461518412082291</v>
      </c>
      <c r="N384" s="214">
        <v>7.4036296374338324</v>
      </c>
      <c r="P384" s="226">
        <f t="shared" si="35"/>
        <v>4.9611370659694005</v>
      </c>
      <c r="Q384" s="226">
        <f t="shared" si="36"/>
        <v>8.2540276130782306</v>
      </c>
      <c r="R384" s="144"/>
    </row>
    <row r="385" spans="2:18">
      <c r="B385" s="142">
        <f t="shared" si="37"/>
        <v>2053</v>
      </c>
      <c r="C385" s="19">
        <f t="shared" si="38"/>
        <v>6</v>
      </c>
      <c r="D385" s="143">
        <v>56036</v>
      </c>
      <c r="E385" s="19" t="str">
        <f t="shared" si="34"/>
        <v>6-2053</v>
      </c>
      <c r="F385" s="214">
        <v>4.8738560178963271</v>
      </c>
      <c r="G385" s="214">
        <v>2.8762839057477949</v>
      </c>
      <c r="H385" s="214">
        <v>7.750139923644122</v>
      </c>
      <c r="I385" s="214">
        <v>5.1036496550404031</v>
      </c>
      <c r="J385" s="214">
        <v>4.7562358943704659</v>
      </c>
      <c r="K385" s="214">
        <v>9.859885549410869</v>
      </c>
      <c r="L385" s="214">
        <v>5.2908526415918162</v>
      </c>
      <c r="M385" s="214">
        <v>2.2461518412082291</v>
      </c>
      <c r="N385" s="214">
        <v>7.5370044828000449</v>
      </c>
      <c r="P385" s="226">
        <f t="shared" si="35"/>
        <v>5.0894527715095146</v>
      </c>
      <c r="Q385" s="226">
        <f t="shared" si="36"/>
        <v>8.3823433186183447</v>
      </c>
      <c r="R385" s="144"/>
    </row>
    <row r="386" spans="2:18">
      <c r="B386" s="142">
        <f t="shared" si="37"/>
        <v>2053</v>
      </c>
      <c r="C386" s="19">
        <f t="shared" si="38"/>
        <v>7</v>
      </c>
      <c r="D386" s="143">
        <v>56066</v>
      </c>
      <c r="E386" s="19" t="str">
        <f t="shared" si="34"/>
        <v>7-2053</v>
      </c>
      <c r="F386" s="214">
        <v>4.9126190500678568</v>
      </c>
      <c r="G386" s="214">
        <v>2.8762839057477949</v>
      </c>
      <c r="H386" s="214">
        <v>7.7889029558156517</v>
      </c>
      <c r="I386" s="214">
        <v>5.1441809578790521</v>
      </c>
      <c r="J386" s="214">
        <v>4.7562358943704659</v>
      </c>
      <c r="K386" s="214">
        <v>9.9004168522495171</v>
      </c>
      <c r="L386" s="214">
        <v>5.3328713037486022</v>
      </c>
      <c r="M386" s="214">
        <v>2.2461518412082291</v>
      </c>
      <c r="N386" s="214">
        <v>7.5790231449568317</v>
      </c>
      <c r="P386" s="226">
        <f t="shared" si="35"/>
        <v>5.129890437231837</v>
      </c>
      <c r="Q386" s="226">
        <f t="shared" si="36"/>
        <v>8.4227809843406671</v>
      </c>
      <c r="R386" s="144"/>
    </row>
    <row r="387" spans="2:18">
      <c r="B387" s="142">
        <f t="shared" si="37"/>
        <v>2053</v>
      </c>
      <c r="C387" s="19">
        <f t="shared" si="38"/>
        <v>8</v>
      </c>
      <c r="D387" s="143">
        <v>56097</v>
      </c>
      <c r="E387" s="19" t="str">
        <f t="shared" si="34"/>
        <v>8-2053</v>
      </c>
      <c r="F387" s="214">
        <v>4.874769489438135</v>
      </c>
      <c r="G387" s="214">
        <v>2.8762839057477949</v>
      </c>
      <c r="H387" s="214">
        <v>7.75105339518593</v>
      </c>
      <c r="I387" s="214">
        <v>5.104488432245966</v>
      </c>
      <c r="J387" s="214">
        <v>4.7562358943704659</v>
      </c>
      <c r="K387" s="214">
        <v>9.8607243266164311</v>
      </c>
      <c r="L387" s="214">
        <v>5.2917234996683309</v>
      </c>
      <c r="M387" s="214">
        <v>2.2461518412082291</v>
      </c>
      <c r="N387" s="214">
        <v>7.5378753408765604</v>
      </c>
      <c r="P387" s="226">
        <f t="shared" si="35"/>
        <v>5.0903271404508112</v>
      </c>
      <c r="Q387" s="226">
        <f t="shared" si="36"/>
        <v>8.3832176875596414</v>
      </c>
      <c r="R387" s="144"/>
    </row>
    <row r="388" spans="2:18">
      <c r="B388" s="142">
        <f t="shared" si="37"/>
        <v>2053</v>
      </c>
      <c r="C388" s="19">
        <f t="shared" si="38"/>
        <v>9</v>
      </c>
      <c r="D388" s="143">
        <v>56128</v>
      </c>
      <c r="E388" s="19" t="str">
        <f t="shared" si="34"/>
        <v>9-2053</v>
      </c>
      <c r="F388" s="214">
        <v>4.9434347166782411</v>
      </c>
      <c r="G388" s="214">
        <v>2.8762839057477949</v>
      </c>
      <c r="H388" s="214">
        <v>7.819718622426036</v>
      </c>
      <c r="I388" s="214">
        <v>5.1763297291527248</v>
      </c>
      <c r="J388" s="214">
        <v>4.7562358943704659</v>
      </c>
      <c r="K388" s="214">
        <v>9.9325656235231907</v>
      </c>
      <c r="L388" s="214">
        <v>5.3662006360562122</v>
      </c>
      <c r="M388" s="214">
        <v>2.2461518412082291</v>
      </c>
      <c r="N388" s="214">
        <v>7.6123524772644409</v>
      </c>
      <c r="P388" s="226">
        <f t="shared" si="35"/>
        <v>5.16198836062906</v>
      </c>
      <c r="Q388" s="226">
        <f t="shared" si="36"/>
        <v>8.4548789077378892</v>
      </c>
      <c r="R388" s="144"/>
    </row>
    <row r="389" spans="2:18">
      <c r="B389" s="142">
        <f t="shared" si="37"/>
        <v>2053</v>
      </c>
      <c r="C389" s="19">
        <f t="shared" si="38"/>
        <v>10</v>
      </c>
      <c r="D389" s="143">
        <v>56158</v>
      </c>
      <c r="E389" s="19" t="str">
        <f t="shared" si="34"/>
        <v>10-2053</v>
      </c>
      <c r="F389" s="214">
        <v>4.9150449241506946</v>
      </c>
      <c r="G389" s="214">
        <v>2.8762839057477949</v>
      </c>
      <c r="H389" s="214">
        <v>7.7913288298984895</v>
      </c>
      <c r="I389" s="214">
        <v>5.146543062709509</v>
      </c>
      <c r="J389" s="214">
        <v>4.7562358943704659</v>
      </c>
      <c r="K389" s="214">
        <v>9.902778957079974</v>
      </c>
      <c r="L389" s="214">
        <v>5.3353220393580401</v>
      </c>
      <c r="M389" s="214">
        <v>2.2461518412082291</v>
      </c>
      <c r="N389" s="214">
        <v>7.5814738805662696</v>
      </c>
      <c r="P389" s="226">
        <f t="shared" si="35"/>
        <v>5.1323033420727482</v>
      </c>
      <c r="Q389" s="226">
        <f t="shared" si="36"/>
        <v>8.4251938891815783</v>
      </c>
      <c r="R389" s="144"/>
    </row>
    <row r="390" spans="2:18">
      <c r="B390" s="142">
        <f t="shared" si="37"/>
        <v>2053</v>
      </c>
      <c r="C390" s="19">
        <f t="shared" si="38"/>
        <v>11</v>
      </c>
      <c r="D390" s="143">
        <v>56189</v>
      </c>
      <c r="E390" s="19" t="str">
        <f t="shared" si="34"/>
        <v>11-2053</v>
      </c>
      <c r="F390" s="214">
        <v>5.1580816557909355</v>
      </c>
      <c r="G390" s="214">
        <v>2.8762839057477949</v>
      </c>
      <c r="H390" s="214">
        <v>8.0343655615387313</v>
      </c>
      <c r="I390" s="214">
        <v>5.4009644876362373</v>
      </c>
      <c r="J390" s="214">
        <v>4.7562358943704659</v>
      </c>
      <c r="K390" s="214">
        <v>10.157200382006703</v>
      </c>
      <c r="L390" s="214">
        <v>5.5990765243768577</v>
      </c>
      <c r="M390" s="214">
        <v>2.2461518412082291</v>
      </c>
      <c r="N390" s="214">
        <v>7.8452283655850863</v>
      </c>
      <c r="P390" s="226">
        <f t="shared" si="35"/>
        <v>5.3860408892680098</v>
      </c>
      <c r="Q390" s="226">
        <f t="shared" si="36"/>
        <v>8.6789314363768408</v>
      </c>
      <c r="R390" s="144"/>
    </row>
    <row r="391" spans="2:18">
      <c r="B391" s="142">
        <f t="shared" si="37"/>
        <v>2053</v>
      </c>
      <c r="C391" s="19">
        <f t="shared" si="38"/>
        <v>12</v>
      </c>
      <c r="D391" s="143">
        <v>56219</v>
      </c>
      <c r="E391" s="19" t="str">
        <f t="shared" si="34"/>
        <v>12-2053</v>
      </c>
      <c r="F391" s="214">
        <v>5.1996729517060229</v>
      </c>
      <c r="G391" s="214">
        <v>2.8762839057477949</v>
      </c>
      <c r="H391" s="214">
        <v>8.0759568574538179</v>
      </c>
      <c r="I391" s="214">
        <v>5.4444514086987068</v>
      </c>
      <c r="J391" s="214">
        <v>4.7562358943704659</v>
      </c>
      <c r="K391" s="214">
        <v>10.200687303069174</v>
      </c>
      <c r="L391" s="214">
        <v>5.6441592843695174</v>
      </c>
      <c r="M391" s="214">
        <v>2.2461518412082291</v>
      </c>
      <c r="N391" s="214">
        <v>7.8903111255777461</v>
      </c>
      <c r="P391" s="226">
        <f t="shared" si="35"/>
        <v>5.4294278815914154</v>
      </c>
      <c r="Q391" s="226">
        <f t="shared" si="36"/>
        <v>8.7223184287002464</v>
      </c>
      <c r="R391" s="144"/>
    </row>
    <row r="392" spans="2:18">
      <c r="B392" s="142">
        <f t="shared" si="37"/>
        <v>2054</v>
      </c>
      <c r="C392" s="19">
        <f t="shared" si="38"/>
        <v>1</v>
      </c>
      <c r="D392" s="143">
        <v>56250</v>
      </c>
      <c r="E392" s="19" t="str">
        <f t="shared" si="34"/>
        <v>1-2054</v>
      </c>
      <c r="F392" s="214">
        <v>5.2000908092427043</v>
      </c>
      <c r="G392" s="214">
        <v>2.9909468340068925</v>
      </c>
      <c r="H392" s="214">
        <v>8.1910376432495973</v>
      </c>
      <c r="I392" s="214">
        <v>5.4448368324700276</v>
      </c>
      <c r="J392" s="214">
        <v>4.9464853301452854</v>
      </c>
      <c r="K392" s="214">
        <v>10.391322162615314</v>
      </c>
      <c r="L392" s="214">
        <v>5.6445569425393334</v>
      </c>
      <c r="M392" s="214">
        <v>2.3359979148565584</v>
      </c>
      <c r="N392" s="214">
        <v>7.9805548573958918</v>
      </c>
      <c r="P392" s="226">
        <f t="shared" si="35"/>
        <v>5.4298281947506881</v>
      </c>
      <c r="Q392" s="226">
        <f t="shared" si="36"/>
        <v>8.8543048877536012</v>
      </c>
      <c r="R392" s="144"/>
    </row>
    <row r="393" spans="2:18">
      <c r="B393" s="142">
        <f t="shared" si="37"/>
        <v>2054</v>
      </c>
      <c r="C393" s="19">
        <f t="shared" si="38"/>
        <v>2</v>
      </c>
      <c r="D393" s="143">
        <v>56281</v>
      </c>
      <c r="E393" s="19" t="str">
        <f t="shared" ref="E393:E415" si="39">C393&amp;"-"&amp;B393</f>
        <v>2-2054</v>
      </c>
      <c r="F393" s="214">
        <v>5.0861902249362316</v>
      </c>
      <c r="G393" s="214">
        <v>2.9909468340068925</v>
      </c>
      <c r="H393" s="214">
        <v>8.0771370589431246</v>
      </c>
      <c r="I393" s="214">
        <v>5.3255244695922714</v>
      </c>
      <c r="J393" s="214">
        <v>4.9464853301452854</v>
      </c>
      <c r="K393" s="214">
        <v>10.272009799737557</v>
      </c>
      <c r="L393" s="214">
        <v>5.5208662638752157</v>
      </c>
      <c r="M393" s="214">
        <v>2.3359979148565584</v>
      </c>
      <c r="N393" s="214">
        <v>7.8568641787317741</v>
      </c>
      <c r="P393" s="226">
        <f t="shared" ref="P393:P402" si="40">AVERAGE(F393,I393,L393)</f>
        <v>5.3108603194679063</v>
      </c>
      <c r="Q393" s="226">
        <f t="shared" ref="Q393:Q402" si="41">AVERAGE(H393,K393,N393)</f>
        <v>8.7353370124708203</v>
      </c>
      <c r="R393" s="144"/>
    </row>
    <row r="394" spans="2:18">
      <c r="B394" s="142">
        <f t="shared" si="37"/>
        <v>2054</v>
      </c>
      <c r="C394" s="19">
        <f t="shared" si="38"/>
        <v>3</v>
      </c>
      <c r="D394" s="143">
        <v>56309</v>
      </c>
      <c r="E394" s="19" t="str">
        <f t="shared" si="39"/>
        <v>3-2054</v>
      </c>
      <c r="F394" s="214">
        <v>4.6692383620660731</v>
      </c>
      <c r="G394" s="214">
        <v>2.9909468340068925</v>
      </c>
      <c r="H394" s="214">
        <v>7.6601851960729661</v>
      </c>
      <c r="I394" s="214">
        <v>4.8889058553932809</v>
      </c>
      <c r="J394" s="214">
        <v>4.9464853301452854</v>
      </c>
      <c r="K394" s="214">
        <v>9.8353911855385654</v>
      </c>
      <c r="L394" s="214">
        <v>5.0682306420831962</v>
      </c>
      <c r="M394" s="214">
        <v>2.3359979148565584</v>
      </c>
      <c r="N394" s="214">
        <v>7.4042285569397546</v>
      </c>
      <c r="P394" s="226">
        <f t="shared" si="40"/>
        <v>4.875458286514184</v>
      </c>
      <c r="Q394" s="226">
        <f t="shared" si="41"/>
        <v>8.2999349795170954</v>
      </c>
      <c r="R394" s="144"/>
    </row>
    <row r="395" spans="2:18">
      <c r="B395" s="142">
        <f t="shared" si="37"/>
        <v>2054</v>
      </c>
      <c r="C395" s="19">
        <f t="shared" si="38"/>
        <v>4</v>
      </c>
      <c r="D395" s="143">
        <v>56340</v>
      </c>
      <c r="E395" s="19" t="str">
        <f t="shared" si="39"/>
        <v>4-2054</v>
      </c>
      <c r="F395" s="214">
        <v>4.5898895888676723</v>
      </c>
      <c r="G395" s="214">
        <v>2.9909468340068925</v>
      </c>
      <c r="H395" s="214">
        <v>7.5808364228745653</v>
      </c>
      <c r="I395" s="214">
        <v>4.8057780692466112</v>
      </c>
      <c r="J395" s="214">
        <v>4.9464853301452854</v>
      </c>
      <c r="K395" s="214">
        <v>9.7522633993918966</v>
      </c>
      <c r="L395" s="214">
        <v>4.9820520532732653</v>
      </c>
      <c r="M395" s="214">
        <v>2.3359979148565584</v>
      </c>
      <c r="N395" s="214">
        <v>7.3180499681298237</v>
      </c>
      <c r="P395" s="226">
        <f t="shared" si="40"/>
        <v>4.7925732371291829</v>
      </c>
      <c r="Q395" s="226">
        <f t="shared" si="41"/>
        <v>8.2170499301320952</v>
      </c>
      <c r="R395" s="144"/>
    </row>
    <row r="396" spans="2:18">
      <c r="B396" s="142">
        <f t="shared" si="37"/>
        <v>2054</v>
      </c>
      <c r="C396" s="19">
        <f t="shared" si="38"/>
        <v>5</v>
      </c>
      <c r="D396" s="143">
        <v>56370</v>
      </c>
      <c r="E396" s="19" t="str">
        <f t="shared" si="39"/>
        <v>5-2054</v>
      </c>
      <c r="F396" s="214">
        <v>4.7497352177999153</v>
      </c>
      <c r="G396" s="214">
        <v>2.9909468340068925</v>
      </c>
      <c r="H396" s="214">
        <v>7.7406820518068074</v>
      </c>
      <c r="I396" s="214">
        <v>4.9730945429553675</v>
      </c>
      <c r="J396" s="214">
        <v>4.9464853301452854</v>
      </c>
      <c r="K396" s="214">
        <v>9.9195798731006519</v>
      </c>
      <c r="L396" s="214">
        <v>5.155503888323727</v>
      </c>
      <c r="M396" s="214">
        <v>2.3359979148565584</v>
      </c>
      <c r="N396" s="214">
        <v>7.4915018031802854</v>
      </c>
      <c r="P396" s="226">
        <f t="shared" si="40"/>
        <v>4.9594445496930026</v>
      </c>
      <c r="Q396" s="226">
        <f t="shared" si="41"/>
        <v>8.383921242695914</v>
      </c>
      <c r="R396" s="144"/>
    </row>
    <row r="397" spans="2:18">
      <c r="B397" s="142">
        <f t="shared" si="37"/>
        <v>2054</v>
      </c>
      <c r="C397" s="19">
        <f t="shared" si="38"/>
        <v>6</v>
      </c>
      <c r="D397" s="143">
        <v>56401</v>
      </c>
      <c r="E397" s="19" t="str">
        <f t="shared" si="39"/>
        <v>6-2054</v>
      </c>
      <c r="F397" s="214">
        <v>4.8726329455490536</v>
      </c>
      <c r="G397" s="214">
        <v>2.9909468340068925</v>
      </c>
      <c r="H397" s="214">
        <v>7.8635797795559466</v>
      </c>
      <c r="I397" s="214">
        <v>5.1017227814345203</v>
      </c>
      <c r="J397" s="214">
        <v>4.9464853301452854</v>
      </c>
      <c r="K397" s="214">
        <v>10.048208111579806</v>
      </c>
      <c r="L397" s="214">
        <v>5.2888483293657096</v>
      </c>
      <c r="M397" s="214">
        <v>2.3359979148565584</v>
      </c>
      <c r="N397" s="214">
        <v>7.624846244222268</v>
      </c>
      <c r="P397" s="226">
        <f t="shared" si="40"/>
        <v>5.0877346854497612</v>
      </c>
      <c r="Q397" s="226">
        <f t="shared" si="41"/>
        <v>8.5122113784526743</v>
      </c>
      <c r="R397" s="144"/>
    </row>
    <row r="398" spans="2:18">
      <c r="B398" s="142">
        <f t="shared" si="37"/>
        <v>2054</v>
      </c>
      <c r="C398" s="19">
        <f t="shared" si="38"/>
        <v>7</v>
      </c>
      <c r="D398" s="143">
        <v>56431</v>
      </c>
      <c r="E398" s="19" t="str">
        <f t="shared" si="39"/>
        <v>7-2054</v>
      </c>
      <c r="F398" s="214">
        <v>4.9113980485460687</v>
      </c>
      <c r="G398" s="214">
        <v>2.9909468340068925</v>
      </c>
      <c r="H398" s="214">
        <v>7.9023448825529616</v>
      </c>
      <c r="I398" s="214">
        <v>5.14226122592948</v>
      </c>
      <c r="J398" s="214">
        <v>4.9464853301452854</v>
      </c>
      <c r="K398" s="214">
        <v>10.088746556074765</v>
      </c>
      <c r="L398" s="214">
        <v>5.3308718809704683</v>
      </c>
      <c r="M398" s="214">
        <v>2.3359979148565584</v>
      </c>
      <c r="N398" s="214">
        <v>7.6668697958270267</v>
      </c>
      <c r="P398" s="226">
        <f t="shared" si="40"/>
        <v>5.1281770518153396</v>
      </c>
      <c r="Q398" s="226">
        <f t="shared" si="41"/>
        <v>8.5526537448182509</v>
      </c>
      <c r="R398" s="144"/>
    </row>
    <row r="399" spans="2:18">
      <c r="B399" s="142">
        <f t="shared" si="37"/>
        <v>2054</v>
      </c>
      <c r="C399" s="19">
        <f t="shared" si="38"/>
        <v>8</v>
      </c>
      <c r="D399" s="143">
        <v>56462</v>
      </c>
      <c r="E399" s="19" t="str">
        <f t="shared" si="39"/>
        <v>8-2054</v>
      </c>
      <c r="F399" s="214">
        <v>4.8735696030464739</v>
      </c>
      <c r="G399" s="214">
        <v>2.9909468340068925</v>
      </c>
      <c r="H399" s="214">
        <v>7.864516437053366</v>
      </c>
      <c r="I399" s="214">
        <v>5.1026057854528277</v>
      </c>
      <c r="J399" s="214">
        <v>4.9464853301452854</v>
      </c>
      <c r="K399" s="214">
        <v>10.049091115598113</v>
      </c>
      <c r="L399" s="214">
        <v>5.2897601522455249</v>
      </c>
      <c r="M399" s="214">
        <v>2.3359979148565584</v>
      </c>
      <c r="N399" s="214">
        <v>7.6257580671020833</v>
      </c>
      <c r="P399" s="226">
        <f t="shared" si="40"/>
        <v>5.0886451802482755</v>
      </c>
      <c r="Q399" s="226">
        <f t="shared" si="41"/>
        <v>8.5131218732511869</v>
      </c>
      <c r="R399" s="144"/>
    </row>
    <row r="400" spans="2:18">
      <c r="B400" s="142">
        <f t="shared" si="37"/>
        <v>2054</v>
      </c>
      <c r="C400" s="19">
        <f t="shared" si="38"/>
        <v>9</v>
      </c>
      <c r="D400" s="143">
        <v>56493</v>
      </c>
      <c r="E400" s="19" t="str">
        <f t="shared" si="39"/>
        <v>9-2054</v>
      </c>
      <c r="F400" s="214">
        <v>4.9422298021704814</v>
      </c>
      <c r="G400" s="214">
        <v>2.9909468340068925</v>
      </c>
      <c r="H400" s="214">
        <v>7.9331766361773735</v>
      </c>
      <c r="I400" s="214">
        <v>5.1744431732023033</v>
      </c>
      <c r="J400" s="214">
        <v>4.9464853301452854</v>
      </c>
      <c r="K400" s="214">
        <v>10.120928503347589</v>
      </c>
      <c r="L400" s="214">
        <v>5.3642305960109447</v>
      </c>
      <c r="M400" s="214">
        <v>2.3359979148565584</v>
      </c>
      <c r="N400" s="214">
        <v>7.700228510867503</v>
      </c>
      <c r="P400" s="226">
        <f t="shared" si="40"/>
        <v>5.1603011904612428</v>
      </c>
      <c r="Q400" s="226">
        <f t="shared" si="41"/>
        <v>8.5847778834641559</v>
      </c>
      <c r="R400" s="144"/>
    </row>
    <row r="401" spans="2:18">
      <c r="B401" s="142">
        <f t="shared" si="37"/>
        <v>2054</v>
      </c>
      <c r="C401" s="19">
        <f t="shared" si="38"/>
        <v>10</v>
      </c>
      <c r="D401" s="143">
        <v>56523</v>
      </c>
      <c r="E401" s="19" t="str">
        <f t="shared" si="39"/>
        <v>10-2054</v>
      </c>
      <c r="F401" s="214">
        <v>4.9138587350082918</v>
      </c>
      <c r="G401" s="214">
        <v>2.9909468340068925</v>
      </c>
      <c r="H401" s="214">
        <v>7.9048055690151848</v>
      </c>
      <c r="I401" s="214">
        <v>5.1446898217706272</v>
      </c>
      <c r="J401" s="214">
        <v>4.9464853301452854</v>
      </c>
      <c r="K401" s="214">
        <v>10.091175151915913</v>
      </c>
      <c r="L401" s="214">
        <v>5.3333841564231754</v>
      </c>
      <c r="M401" s="214">
        <v>2.3359979148565584</v>
      </c>
      <c r="N401" s="214">
        <v>7.6693820712797338</v>
      </c>
      <c r="P401" s="226">
        <f t="shared" si="40"/>
        <v>5.1306442377340318</v>
      </c>
      <c r="Q401" s="226">
        <f t="shared" si="41"/>
        <v>8.555120930736944</v>
      </c>
      <c r="R401" s="144"/>
    </row>
    <row r="402" spans="2:18">
      <c r="B402" s="142">
        <f t="shared" si="37"/>
        <v>2054</v>
      </c>
      <c r="C402" s="19">
        <f t="shared" si="38"/>
        <v>11</v>
      </c>
      <c r="D402" s="143">
        <v>56554</v>
      </c>
      <c r="E402" s="19" t="str">
        <f t="shared" si="39"/>
        <v>11-2054</v>
      </c>
      <c r="F402" s="214">
        <v>5.1568492024837163</v>
      </c>
      <c r="G402" s="214">
        <v>2.9909468340068925</v>
      </c>
      <c r="H402" s="214">
        <v>8.1477960364906092</v>
      </c>
      <c r="I402" s="214">
        <v>5.3990432018595369</v>
      </c>
      <c r="J402" s="214">
        <v>4.9464853301452854</v>
      </c>
      <c r="K402" s="214">
        <v>10.345528532004822</v>
      </c>
      <c r="L402" s="214">
        <v>5.5970646928853149</v>
      </c>
      <c r="M402" s="214">
        <v>2.3359979148565584</v>
      </c>
      <c r="N402" s="214">
        <v>7.9330626077418733</v>
      </c>
      <c r="P402" s="226">
        <f t="shared" si="40"/>
        <v>5.3843190324095227</v>
      </c>
      <c r="Q402" s="226">
        <f t="shared" si="41"/>
        <v>8.8087957254124358</v>
      </c>
      <c r="R402" s="144"/>
    </row>
    <row r="403" spans="2:18">
      <c r="B403" s="142">
        <f t="shared" si="37"/>
        <v>2054</v>
      </c>
      <c r="C403" s="19">
        <f t="shared" si="38"/>
        <v>12</v>
      </c>
      <c r="D403" s="143">
        <v>56584</v>
      </c>
      <c r="E403" s="19" t="str">
        <f t="shared" si="39"/>
        <v>12-2054</v>
      </c>
      <c r="F403" s="214">
        <v>5.1984430511164597</v>
      </c>
      <c r="G403" s="214">
        <v>2.9909468340068925</v>
      </c>
      <c r="H403" s="214">
        <v>8.1893898851233526</v>
      </c>
      <c r="I403" s="214">
        <v>5.4425384155719119</v>
      </c>
      <c r="J403" s="214">
        <v>4.9464853301452854</v>
      </c>
      <c r="K403" s="214">
        <v>10.389023745717196</v>
      </c>
      <c r="L403" s="214">
        <v>5.6421532831127754</v>
      </c>
      <c r="M403" s="214">
        <v>2.3359979148565584</v>
      </c>
      <c r="N403" s="214">
        <v>7.9781511979693338</v>
      </c>
      <c r="P403" s="226">
        <f t="shared" ref="P403:P415" si="42">AVERAGE(F403,I403,L403)</f>
        <v>5.4277115832670484</v>
      </c>
      <c r="Q403" s="226">
        <f t="shared" ref="Q403:Q415" si="43">AVERAGE(H403,K403,N403)</f>
        <v>8.8521882762699615</v>
      </c>
      <c r="R403" s="144"/>
    </row>
    <row r="404" spans="2:18">
      <c r="B404" s="142">
        <f t="shared" si="37"/>
        <v>2055</v>
      </c>
      <c r="C404" s="19">
        <f t="shared" si="38"/>
        <v>1</v>
      </c>
      <c r="D404" s="143">
        <v>56615</v>
      </c>
      <c r="E404" s="19" t="str">
        <f t="shared" si="39"/>
        <v>1-2055</v>
      </c>
      <c r="F404" s="214">
        <v>5.1988616648469659</v>
      </c>
      <c r="G404" s="214">
        <v>3.1101808577809278</v>
      </c>
      <c r="H404" s="214">
        <v>8.3090425226278946</v>
      </c>
      <c r="I404" s="214">
        <v>5.4429169484941502</v>
      </c>
      <c r="J404" s="214">
        <v>5.1443447433510956</v>
      </c>
      <c r="K404" s="214">
        <v>10.587261691845246</v>
      </c>
      <c r="L404" s="214">
        <v>5.6425479980329207</v>
      </c>
      <c r="M404" s="214">
        <v>2.4294378314508203</v>
      </c>
      <c r="N404" s="214">
        <v>8.0719858294837401</v>
      </c>
      <c r="P404" s="226">
        <f t="shared" si="42"/>
        <v>5.4281088704580123</v>
      </c>
      <c r="Q404" s="226">
        <f t="shared" si="43"/>
        <v>8.9894300146522941</v>
      </c>
    </row>
    <row r="405" spans="2:18">
      <c r="B405" s="142">
        <f t="shared" si="37"/>
        <v>2055</v>
      </c>
      <c r="C405" s="19">
        <f t="shared" si="38"/>
        <v>2</v>
      </c>
      <c r="D405" s="143">
        <v>56646</v>
      </c>
      <c r="E405" s="19" t="str">
        <f t="shared" si="39"/>
        <v>2-2055</v>
      </c>
      <c r="F405" s="214">
        <v>5.0849888395343505</v>
      </c>
      <c r="G405" s="214">
        <v>3.1101808577809278</v>
      </c>
      <c r="H405" s="214">
        <v>8.1951696973152792</v>
      </c>
      <c r="I405" s="214">
        <v>5.3236400481315451</v>
      </c>
      <c r="J405" s="214">
        <v>5.1443447433510956</v>
      </c>
      <c r="K405" s="214">
        <v>10.467984791482641</v>
      </c>
      <c r="L405" s="214">
        <v>5.5188986012240644</v>
      </c>
      <c r="M405" s="214">
        <v>2.4294378314508203</v>
      </c>
      <c r="N405" s="214">
        <v>7.9483364326748847</v>
      </c>
      <c r="P405" s="226">
        <f t="shared" si="42"/>
        <v>5.3091758296299867</v>
      </c>
      <c r="Q405" s="226">
        <f t="shared" si="43"/>
        <v>8.8704969738242685</v>
      </c>
    </row>
    <row r="406" spans="2:18">
      <c r="B406" s="142">
        <f t="shared" si="37"/>
        <v>2055</v>
      </c>
      <c r="C406" s="19">
        <f t="shared" si="38"/>
        <v>3</v>
      </c>
      <c r="D406" s="143">
        <v>56674</v>
      </c>
      <c r="E406" s="19" t="str">
        <f t="shared" si="39"/>
        <v>3-2055</v>
      </c>
      <c r="F406" s="214">
        <v>4.6681362307356729</v>
      </c>
      <c r="G406" s="214">
        <v>3.1101808577809278</v>
      </c>
      <c r="H406" s="214">
        <v>7.7783170885166006</v>
      </c>
      <c r="I406" s="214">
        <v>4.887169863779051</v>
      </c>
      <c r="J406" s="214">
        <v>5.1443447433510956</v>
      </c>
      <c r="K406" s="214">
        <v>10.031514607130147</v>
      </c>
      <c r="L406" s="214">
        <v>5.066421784761193</v>
      </c>
      <c r="M406" s="214">
        <v>2.4294378314508203</v>
      </c>
      <c r="N406" s="214">
        <v>7.4958596162120132</v>
      </c>
      <c r="P406" s="226">
        <f t="shared" si="42"/>
        <v>4.8739092930919723</v>
      </c>
      <c r="Q406" s="226">
        <f t="shared" si="43"/>
        <v>8.4352304372862523</v>
      </c>
    </row>
    <row r="407" spans="2:18">
      <c r="B407" s="142">
        <f t="shared" si="37"/>
        <v>2055</v>
      </c>
      <c r="C407" s="19">
        <f t="shared" si="38"/>
        <v>4</v>
      </c>
      <c r="D407" s="143">
        <v>56705</v>
      </c>
      <c r="E407" s="19" t="str">
        <f t="shared" si="39"/>
        <v>4-2055</v>
      </c>
      <c r="F407" s="214">
        <v>4.5888069418824946</v>
      </c>
      <c r="G407" s="214">
        <v>3.1101808577809278</v>
      </c>
      <c r="H407" s="214">
        <v>7.6989877996634224</v>
      </c>
      <c r="I407" s="214">
        <v>4.8040656317184354</v>
      </c>
      <c r="J407" s="214">
        <v>5.1443447433510956</v>
      </c>
      <c r="K407" s="214">
        <v>9.9484103750695319</v>
      </c>
      <c r="L407" s="214">
        <v>4.9802714796941903</v>
      </c>
      <c r="M407" s="214">
        <v>2.4294378314508203</v>
      </c>
      <c r="N407" s="214">
        <v>7.4097093111450105</v>
      </c>
      <c r="P407" s="226">
        <f t="shared" si="42"/>
        <v>4.7910480177650401</v>
      </c>
      <c r="Q407" s="226">
        <f t="shared" si="43"/>
        <v>8.3523691619593219</v>
      </c>
    </row>
    <row r="408" spans="2:18">
      <c r="B408" s="142">
        <f t="shared" si="37"/>
        <v>2055</v>
      </c>
      <c r="C408" s="19">
        <f t="shared" si="38"/>
        <v>5</v>
      </c>
      <c r="D408" s="143">
        <v>56735</v>
      </c>
      <c r="E408" s="19" t="str">
        <f t="shared" si="39"/>
        <v>5-2055</v>
      </c>
      <c r="F408" s="214">
        <v>4.7486156480952708</v>
      </c>
      <c r="G408" s="214">
        <v>3.1101808577809278</v>
      </c>
      <c r="H408" s="214">
        <v>7.8587965058761986</v>
      </c>
      <c r="I408" s="214">
        <v>4.9713163141571037</v>
      </c>
      <c r="J408" s="214">
        <v>5.1443447433510956</v>
      </c>
      <c r="K408" s="214">
        <v>10.115661057508198</v>
      </c>
      <c r="L408" s="214">
        <v>5.153658763709168</v>
      </c>
      <c r="M408" s="214">
        <v>2.4294378314508203</v>
      </c>
      <c r="N408" s="214">
        <v>7.5830965951599882</v>
      </c>
      <c r="P408" s="226">
        <f t="shared" si="42"/>
        <v>4.9578635753205136</v>
      </c>
      <c r="Q408" s="226">
        <f t="shared" si="43"/>
        <v>8.5191847195147954</v>
      </c>
    </row>
    <row r="409" spans="2:18">
      <c r="B409" s="142">
        <f t="shared" si="37"/>
        <v>2055</v>
      </c>
      <c r="C409" s="19">
        <f t="shared" si="38"/>
        <v>6</v>
      </c>
      <c r="D409" s="143">
        <v>56766</v>
      </c>
      <c r="E409" s="19" t="str">
        <f t="shared" si="39"/>
        <v>6-2055</v>
      </c>
      <c r="F409" s="214">
        <v>4.87148520871889</v>
      </c>
      <c r="G409" s="214">
        <v>3.1101808577809278</v>
      </c>
      <c r="H409" s="214">
        <v>7.9816660664998178</v>
      </c>
      <c r="I409" s="214">
        <v>5.0998922274773442</v>
      </c>
      <c r="J409" s="214">
        <v>5.1443447433510956</v>
      </c>
      <c r="K409" s="214">
        <v>10.244236970828439</v>
      </c>
      <c r="L409" s="214">
        <v>5.2869528554337091</v>
      </c>
      <c r="M409" s="214">
        <v>2.4294378314508203</v>
      </c>
      <c r="N409" s="214">
        <v>7.7163906868845293</v>
      </c>
      <c r="P409" s="226">
        <f t="shared" si="42"/>
        <v>5.0861100972099811</v>
      </c>
      <c r="Q409" s="226">
        <f t="shared" si="43"/>
        <v>8.6474312414042629</v>
      </c>
    </row>
    <row r="410" spans="2:18">
      <c r="B410" s="142">
        <f t="shared" si="37"/>
        <v>2055</v>
      </c>
      <c r="C410" s="19">
        <f t="shared" si="38"/>
        <v>7</v>
      </c>
      <c r="D410" s="143">
        <v>56796</v>
      </c>
      <c r="E410" s="19" t="str">
        <f t="shared" si="39"/>
        <v>7-2055</v>
      </c>
      <c r="F410" s="214">
        <v>4.9102419884440653</v>
      </c>
      <c r="G410" s="214">
        <v>3.1101808577809278</v>
      </c>
      <c r="H410" s="214">
        <v>8.0204228462249922</v>
      </c>
      <c r="I410" s="214">
        <v>5.140409744074498</v>
      </c>
      <c r="J410" s="214">
        <v>5.1443447433510956</v>
      </c>
      <c r="K410" s="214">
        <v>10.284754487425595</v>
      </c>
      <c r="L410" s="214">
        <v>5.3289586990423743</v>
      </c>
      <c r="M410" s="214">
        <v>2.4294378314508203</v>
      </c>
      <c r="N410" s="214">
        <v>7.7583965304931946</v>
      </c>
      <c r="P410" s="226">
        <f t="shared" si="42"/>
        <v>5.1265368105203128</v>
      </c>
      <c r="Q410" s="226">
        <f t="shared" si="43"/>
        <v>8.6878579547145929</v>
      </c>
    </row>
    <row r="411" spans="2:18">
      <c r="B411" s="142">
        <f t="shared" si="37"/>
        <v>2055</v>
      </c>
      <c r="C411" s="19">
        <f t="shared" si="38"/>
        <v>8</v>
      </c>
      <c r="D411" s="143">
        <v>56827</v>
      </c>
      <c r="E411" s="19" t="str">
        <f t="shared" si="39"/>
        <v>8-2055</v>
      </c>
      <c r="F411" s="214">
        <v>4.8724232486852284</v>
      </c>
      <c r="G411" s="214">
        <v>3.1101808577809278</v>
      </c>
      <c r="H411" s="214">
        <v>7.9826041064661561</v>
      </c>
      <c r="I411" s="214">
        <v>5.100762248208313</v>
      </c>
      <c r="J411" s="214">
        <v>5.1443447433510956</v>
      </c>
      <c r="K411" s="214">
        <v>10.245106991559409</v>
      </c>
      <c r="L411" s="214">
        <v>5.2878590979047226</v>
      </c>
      <c r="M411" s="214">
        <v>2.4294378314508203</v>
      </c>
      <c r="N411" s="214">
        <v>7.7172969293555429</v>
      </c>
      <c r="P411" s="226">
        <f t="shared" si="42"/>
        <v>5.0870148649327547</v>
      </c>
      <c r="Q411" s="226">
        <f t="shared" si="43"/>
        <v>8.6483360091270356</v>
      </c>
    </row>
    <row r="412" spans="2:18">
      <c r="B412" s="142">
        <f t="shared" si="37"/>
        <v>2055</v>
      </c>
      <c r="C412" s="19">
        <f t="shared" si="38"/>
        <v>9</v>
      </c>
      <c r="D412" s="143">
        <v>56858</v>
      </c>
      <c r="E412" s="19" t="str">
        <f t="shared" si="39"/>
        <v>9-2055</v>
      </c>
      <c r="F412" s="214">
        <v>4.9410681105399821</v>
      </c>
      <c r="G412" s="214">
        <v>3.1101808577809278</v>
      </c>
      <c r="H412" s="214">
        <v>8.051248968320909</v>
      </c>
      <c r="I412" s="214">
        <v>5.1725672586364402</v>
      </c>
      <c r="J412" s="214">
        <v>5.1443447433510956</v>
      </c>
      <c r="K412" s="214">
        <v>10.316912001987536</v>
      </c>
      <c r="L412" s="214">
        <v>5.3623001141681836</v>
      </c>
      <c r="M412" s="214">
        <v>2.4294378314508203</v>
      </c>
      <c r="N412" s="214">
        <v>7.7917379456190039</v>
      </c>
      <c r="P412" s="226">
        <f t="shared" si="42"/>
        <v>5.158645161114868</v>
      </c>
      <c r="Q412" s="226">
        <f t="shared" si="43"/>
        <v>8.7199663053091498</v>
      </c>
    </row>
    <row r="413" spans="2:18">
      <c r="B413" s="142">
        <f t="shared" si="37"/>
        <v>2055</v>
      </c>
      <c r="C413" s="19">
        <f t="shared" si="38"/>
        <v>10</v>
      </c>
      <c r="D413" s="143">
        <v>56888</v>
      </c>
      <c r="E413" s="19" t="str">
        <f t="shared" si="39"/>
        <v>10-2055</v>
      </c>
      <c r="F413" s="214">
        <v>4.9127045203690116</v>
      </c>
      <c r="G413" s="214">
        <v>3.1101808577809278</v>
      </c>
      <c r="H413" s="214">
        <v>8.0228853781499403</v>
      </c>
      <c r="I413" s="214">
        <v>5.1428183074267153</v>
      </c>
      <c r="J413" s="214">
        <v>5.1443447433510956</v>
      </c>
      <c r="K413" s="214">
        <v>10.28716305077781</v>
      </c>
      <c r="L413" s="214">
        <v>5.3314621267463727</v>
      </c>
      <c r="M413" s="214">
        <v>2.4294378314508203</v>
      </c>
      <c r="N413" s="214">
        <v>7.7608999581971929</v>
      </c>
      <c r="P413" s="226">
        <f t="shared" si="42"/>
        <v>5.1289949848473668</v>
      </c>
      <c r="Q413" s="226">
        <f t="shared" si="43"/>
        <v>8.6903161290416477</v>
      </c>
    </row>
    <row r="414" spans="2:18">
      <c r="B414" s="142">
        <f t="shared" si="37"/>
        <v>2055</v>
      </c>
      <c r="C414" s="19">
        <f t="shared" si="38"/>
        <v>11</v>
      </c>
      <c r="D414" s="143">
        <v>56919</v>
      </c>
      <c r="E414" s="19" t="str">
        <f t="shared" si="39"/>
        <v>11-2055</v>
      </c>
      <c r="F414" s="214">
        <v>5.1556387601503264</v>
      </c>
      <c r="G414" s="214">
        <v>3.1101808577809278</v>
      </c>
      <c r="H414" s="214">
        <v>8.2658196179312533</v>
      </c>
      <c r="I414" s="214">
        <v>5.3970724573445965</v>
      </c>
      <c r="J414" s="214">
        <v>5.1443447433510956</v>
      </c>
      <c r="K414" s="214">
        <v>10.541417200695692</v>
      </c>
      <c r="L414" s="214">
        <v>5.5950448587845409</v>
      </c>
      <c r="M414" s="214">
        <v>2.4294378314508203</v>
      </c>
      <c r="N414" s="214">
        <v>8.0244826902353612</v>
      </c>
      <c r="P414" s="226">
        <f t="shared" si="42"/>
        <v>5.3825853587598216</v>
      </c>
      <c r="Q414" s="226">
        <f t="shared" si="43"/>
        <v>8.9439065029541016</v>
      </c>
    </row>
    <row r="415" spans="2:18">
      <c r="B415" s="142">
        <f t="shared" si="37"/>
        <v>2055</v>
      </c>
      <c r="C415" s="19">
        <f t="shared" si="38"/>
        <v>12</v>
      </c>
      <c r="D415" s="143">
        <v>56949</v>
      </c>
      <c r="E415" s="19" t="str">
        <f t="shared" si="39"/>
        <v>12-2055</v>
      </c>
      <c r="F415" s="214">
        <v>5.1972237007909401</v>
      </c>
      <c r="G415" s="214">
        <v>3.1101808577809278</v>
      </c>
      <c r="H415" s="214">
        <v>8.3074045585718679</v>
      </c>
      <c r="I415" s="214">
        <v>5.4405450376240028</v>
      </c>
      <c r="J415" s="214">
        <v>5.1443447433510956</v>
      </c>
      <c r="K415" s="214">
        <v>10.584889780975098</v>
      </c>
      <c r="L415" s="214">
        <v>5.6401143751704215</v>
      </c>
      <c r="M415" s="214">
        <v>2.4294378314508203</v>
      </c>
      <c r="N415" s="214">
        <v>8.0695522066212426</v>
      </c>
      <c r="P415" s="226">
        <f t="shared" si="42"/>
        <v>5.4259610378617884</v>
      </c>
      <c r="Q415" s="226">
        <f t="shared" si="43"/>
        <v>8.9872821820560684</v>
      </c>
    </row>
  </sheetData>
  <mergeCells count="6">
    <mergeCell ref="Q6:Q7"/>
    <mergeCell ref="P6:P7"/>
    <mergeCell ref="B6:C6"/>
    <mergeCell ref="L6:N6"/>
    <mergeCell ref="J6:K6"/>
    <mergeCell ref="G6:H6"/>
  </mergeCells>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63A3-BC4F-4DA1-9E26-C055037740E9}">
  <sheetPr codeName="Sheet14">
    <tabColor theme="5"/>
  </sheetPr>
  <dimension ref="A1:AE91"/>
  <sheetViews>
    <sheetView tabSelected="1" topLeftCell="A52" workbookViewId="0">
      <selection activeCell="F56" sqref="F56:F82"/>
    </sheetView>
  </sheetViews>
  <sheetFormatPr baseColWidth="10" defaultColWidth="9.3984375" defaultRowHeight="15"/>
  <cols>
    <col min="1" max="1" width="8" customWidth="1"/>
    <col min="2" max="2" width="24.3984375" style="5" customWidth="1"/>
    <col min="3" max="3" width="11.59765625" style="5" customWidth="1"/>
    <col min="4" max="4" width="26" style="5" customWidth="1"/>
  </cols>
  <sheetData>
    <row r="1" spans="1:31" s="19" customFormat="1">
      <c r="A1" s="5"/>
    </row>
    <row r="2" spans="1:31" s="19" customFormat="1">
      <c r="A2" s="234"/>
      <c r="B2" s="234" t="s">
        <v>215</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row>
    <row r="3" spans="1:31" s="19" customFormat="1">
      <c r="A3" s="5"/>
      <c r="B3" s="231" t="s">
        <v>216</v>
      </c>
    </row>
    <row r="4" spans="1:31" s="19" customFormat="1">
      <c r="A4" s="5"/>
      <c r="B4" s="234"/>
      <c r="C4" s="234"/>
      <c r="D4" s="234" t="s">
        <v>217</v>
      </c>
    </row>
    <row r="5" spans="1:31">
      <c r="B5" s="234" t="s">
        <v>218</v>
      </c>
      <c r="C5" s="215">
        <v>2022</v>
      </c>
      <c r="D5" s="233">
        <f>'IEPR Gas Prices Real'!C4</f>
        <v>2022</v>
      </c>
      <c r="E5" s="231" t="s">
        <v>219</v>
      </c>
    </row>
    <row r="6" spans="1:31">
      <c r="B6" s="57">
        <v>1970</v>
      </c>
      <c r="C6" s="221">
        <v>7.9560589296590392</v>
      </c>
      <c r="D6" s="232">
        <f t="shared" ref="D6:D37" si="0">C6/INDEX($C$6:$C$91,MATCH($D$5,$B$6:$B$91,0))</f>
        <v>7.9560589296590392E-2</v>
      </c>
    </row>
    <row r="7" spans="1:31">
      <c r="B7" s="57">
        <v>1971</v>
      </c>
      <c r="C7" s="221">
        <v>8.3596244764924084</v>
      </c>
      <c r="D7" s="232">
        <f t="shared" si="0"/>
        <v>8.3596244764924083E-2</v>
      </c>
    </row>
    <row r="8" spans="1:31">
      <c r="B8" s="57">
        <v>1972</v>
      </c>
      <c r="C8" s="221">
        <v>8.7208881322184144</v>
      </c>
      <c r="D8" s="232">
        <f t="shared" si="0"/>
        <v>8.7208881322184142E-2</v>
      </c>
    </row>
    <row r="9" spans="1:31">
      <c r="B9" s="57">
        <v>1973</v>
      </c>
      <c r="C9" s="221">
        <v>9.1986884510818427</v>
      </c>
      <c r="D9" s="232">
        <f t="shared" si="0"/>
        <v>9.1986884510818434E-2</v>
      </c>
    </row>
    <row r="10" spans="1:31">
      <c r="B10" s="57">
        <v>1974</v>
      </c>
      <c r="C10" s="221">
        <v>10.023804730555616</v>
      </c>
      <c r="D10" s="232">
        <f t="shared" si="0"/>
        <v>0.10023804730555616</v>
      </c>
    </row>
    <row r="11" spans="1:31">
      <c r="B11" s="57">
        <v>1975</v>
      </c>
      <c r="C11" s="221">
        <v>19.756176042115598</v>
      </c>
      <c r="D11" s="232">
        <f t="shared" si="0"/>
        <v>0.19756176042115597</v>
      </c>
    </row>
    <row r="12" spans="1:31">
      <c r="B12" s="57">
        <v>1976</v>
      </c>
      <c r="C12" s="221">
        <v>20.897073032936024</v>
      </c>
      <c r="D12" s="232">
        <f t="shared" si="0"/>
        <v>0.20897073032936025</v>
      </c>
    </row>
    <row r="13" spans="1:31">
      <c r="B13" s="57">
        <v>1977</v>
      </c>
      <c r="C13" s="221">
        <v>22.249020673532879</v>
      </c>
      <c r="D13" s="232">
        <f t="shared" si="0"/>
        <v>0.22249020673532879</v>
      </c>
    </row>
    <row r="14" spans="1:31">
      <c r="B14" s="57">
        <v>1978</v>
      </c>
      <c r="C14" s="221">
        <v>23.946601986952011</v>
      </c>
      <c r="D14" s="232">
        <f t="shared" si="0"/>
        <v>0.2394660198695201</v>
      </c>
    </row>
    <row r="15" spans="1:31">
      <c r="B15" s="57">
        <v>1979</v>
      </c>
      <c r="C15" s="221">
        <v>26.641321152938051</v>
      </c>
      <c r="D15" s="232">
        <f t="shared" si="0"/>
        <v>0.26641321152938052</v>
      </c>
    </row>
    <row r="16" spans="1:31">
      <c r="B16" s="57">
        <v>1980</v>
      </c>
      <c r="C16" s="221">
        <v>30.238358314345078</v>
      </c>
      <c r="D16" s="232">
        <f t="shared" si="0"/>
        <v>0.30238358314345076</v>
      </c>
    </row>
    <row r="17" spans="2:4">
      <c r="B17" s="57">
        <v>1981</v>
      </c>
      <c r="C17" s="221">
        <v>33.376589715368539</v>
      </c>
      <c r="D17" s="232">
        <f t="shared" si="0"/>
        <v>0.33376589715368538</v>
      </c>
    </row>
    <row r="18" spans="2:4">
      <c r="B18" s="57">
        <v>1982</v>
      </c>
      <c r="C18" s="221">
        <v>35.432039521886836</v>
      </c>
      <c r="D18" s="232">
        <f t="shared" si="0"/>
        <v>0.35432039521886838</v>
      </c>
    </row>
    <row r="19" spans="2:4">
      <c r="B19" s="57">
        <v>1983</v>
      </c>
      <c r="C19" s="221">
        <v>36.551525577222691</v>
      </c>
      <c r="D19" s="232">
        <f t="shared" si="0"/>
        <v>0.36551525577222693</v>
      </c>
    </row>
    <row r="20" spans="2:4">
      <c r="B20" s="57">
        <v>1984</v>
      </c>
      <c r="C20" s="221">
        <v>38.148169623357447</v>
      </c>
      <c r="D20" s="232">
        <f t="shared" si="0"/>
        <v>0.38148169623357447</v>
      </c>
    </row>
    <row r="21" spans="2:4">
      <c r="B21" s="57">
        <v>1985</v>
      </c>
      <c r="C21" s="221">
        <v>39.493999853815858</v>
      </c>
      <c r="D21" s="232">
        <f t="shared" si="0"/>
        <v>0.39493999853815859</v>
      </c>
    </row>
    <row r="22" spans="2:4">
      <c r="B22" s="57">
        <v>1986</v>
      </c>
      <c r="C22" s="221">
        <v>40.261734826190995</v>
      </c>
      <c r="D22" s="232">
        <f t="shared" si="0"/>
        <v>0.40261734826190998</v>
      </c>
    </row>
    <row r="23" spans="2:4">
      <c r="B23" s="57">
        <v>1987</v>
      </c>
      <c r="C23" s="221">
        <v>41.702384913795335</v>
      </c>
      <c r="D23" s="232">
        <f t="shared" si="0"/>
        <v>0.41702384913795337</v>
      </c>
    </row>
    <row r="24" spans="2:4">
      <c r="B24" s="57">
        <v>1988</v>
      </c>
      <c r="C24" s="221">
        <v>43.412201047491365</v>
      </c>
      <c r="D24" s="232">
        <f t="shared" si="0"/>
        <v>0.43412201047491367</v>
      </c>
    </row>
    <row r="25" spans="2:4">
      <c r="B25" s="57">
        <v>1989</v>
      </c>
      <c r="C25" s="221">
        <v>45.492120494563451</v>
      </c>
      <c r="D25" s="232">
        <f t="shared" si="0"/>
        <v>0.45492120494563454</v>
      </c>
    </row>
    <row r="26" spans="2:4">
      <c r="B26" s="57">
        <v>1990</v>
      </c>
      <c r="C26" s="221">
        <v>47.957436780357718</v>
      </c>
      <c r="D26" s="232">
        <f t="shared" si="0"/>
        <v>0.47957436780357715</v>
      </c>
    </row>
    <row r="27" spans="2:4">
      <c r="B27" s="57">
        <v>1991</v>
      </c>
      <c r="C27" s="221">
        <v>49.979240831114559</v>
      </c>
      <c r="D27" s="232">
        <f t="shared" si="0"/>
        <v>0.49979240831114558</v>
      </c>
    </row>
    <row r="28" spans="2:4">
      <c r="B28" s="57">
        <v>1992</v>
      </c>
      <c r="C28" s="221">
        <v>51.499417250518697</v>
      </c>
      <c r="D28" s="232">
        <f t="shared" si="0"/>
        <v>0.51499417250518698</v>
      </c>
    </row>
    <row r="29" spans="2:4">
      <c r="B29" s="57">
        <v>1993</v>
      </c>
      <c r="C29" s="221">
        <v>53.028769785130535</v>
      </c>
      <c r="D29" s="232">
        <f t="shared" si="0"/>
        <v>0.53028769785130536</v>
      </c>
    </row>
    <row r="30" spans="2:4">
      <c r="B30" s="57">
        <v>1994</v>
      </c>
      <c r="C30" s="221">
        <v>54.405187066281179</v>
      </c>
      <c r="D30" s="232">
        <f t="shared" si="0"/>
        <v>0.5440518706628118</v>
      </c>
    </row>
    <row r="31" spans="2:4">
      <c r="B31" s="57">
        <v>1995</v>
      </c>
      <c r="C31" s="221">
        <v>55.931480895823782</v>
      </c>
      <c r="D31" s="232">
        <f t="shared" si="0"/>
        <v>0.55931480895823782</v>
      </c>
    </row>
    <row r="32" spans="2:4">
      <c r="B32" s="57">
        <v>1996</v>
      </c>
      <c r="C32" s="221">
        <v>57.574005517996888</v>
      </c>
      <c r="D32" s="232">
        <f t="shared" si="0"/>
        <v>0.57574005517996885</v>
      </c>
    </row>
    <row r="33" spans="2:4">
      <c r="B33" s="57">
        <v>1997</v>
      </c>
      <c r="C33" s="221">
        <v>58.919835748455306</v>
      </c>
      <c r="D33" s="232">
        <f t="shared" si="0"/>
        <v>0.58919835748455307</v>
      </c>
    </row>
    <row r="34" spans="2:4">
      <c r="B34" s="57">
        <v>1998</v>
      </c>
      <c r="C34" s="221">
        <v>59.831329859083951</v>
      </c>
      <c r="D34" s="232">
        <f t="shared" si="0"/>
        <v>0.59831329859083948</v>
      </c>
    </row>
    <row r="35" spans="2:4">
      <c r="B35" s="57">
        <v>1999</v>
      </c>
      <c r="C35" s="221">
        <v>61.143514333780892</v>
      </c>
      <c r="D35" s="232">
        <f t="shared" si="0"/>
        <v>0.61143514333780891</v>
      </c>
    </row>
    <row r="36" spans="2:4">
      <c r="B36" s="57">
        <v>2000</v>
      </c>
      <c r="C36" s="221">
        <v>63.202022845368418</v>
      </c>
      <c r="D36" s="232">
        <f t="shared" si="0"/>
        <v>0.63202022845368422</v>
      </c>
    </row>
    <row r="37" spans="2:4">
      <c r="B37" s="57">
        <v>2001</v>
      </c>
      <c r="C37" s="221">
        <v>64.982189195656588</v>
      </c>
      <c r="D37" s="232">
        <f t="shared" si="0"/>
        <v>0.64982189195656592</v>
      </c>
    </row>
    <row r="38" spans="2:4">
      <c r="B38" s="57">
        <v>2002</v>
      </c>
      <c r="C38" s="221">
        <v>66.019090214123409</v>
      </c>
      <c r="D38" s="232">
        <f t="shared" ref="D38:D69" si="1">C38/INDEX($C$6:$C$91,MATCH($D$5,$B$6:$B$91,0))</f>
        <v>0.6601909021412341</v>
      </c>
    </row>
    <row r="39" spans="2:4">
      <c r="B39" s="57">
        <v>2003</v>
      </c>
      <c r="C39" s="221">
        <v>67.536207928458353</v>
      </c>
      <c r="D39" s="232">
        <f t="shared" si="1"/>
        <v>0.67536207928458358</v>
      </c>
    </row>
    <row r="40" spans="2:4">
      <c r="B40" s="57">
        <v>2004</v>
      </c>
      <c r="C40" s="221">
        <v>69.337785214231076</v>
      </c>
      <c r="D40" s="232">
        <f t="shared" si="1"/>
        <v>0.69337785214231074</v>
      </c>
    </row>
    <row r="41" spans="2:4">
      <c r="B41" s="57">
        <v>2005</v>
      </c>
      <c r="C41" s="221">
        <v>71.671577182048722</v>
      </c>
      <c r="D41" s="232">
        <f t="shared" si="1"/>
        <v>0.71671577182048718</v>
      </c>
    </row>
    <row r="42" spans="2:4">
      <c r="B42" s="57">
        <v>2006</v>
      </c>
      <c r="C42" s="221">
        <v>73.980899509312593</v>
      </c>
      <c r="D42" s="232">
        <f t="shared" si="1"/>
        <v>0.73980899509312592</v>
      </c>
    </row>
    <row r="43" spans="2:4">
      <c r="B43" s="57">
        <v>2007</v>
      </c>
      <c r="C43" s="221">
        <v>76.104558438874577</v>
      </c>
      <c r="D43" s="232">
        <f t="shared" si="1"/>
        <v>0.76104558438874581</v>
      </c>
    </row>
    <row r="44" spans="2:4">
      <c r="B44" s="57">
        <v>2008</v>
      </c>
      <c r="C44" s="221">
        <v>79.007911877632353</v>
      </c>
      <c r="D44" s="232">
        <f t="shared" si="1"/>
        <v>0.79007911877632353</v>
      </c>
    </row>
    <row r="45" spans="2:4">
      <c r="B45" s="57">
        <v>2009</v>
      </c>
      <c r="C45" s="221">
        <v>78.754804033154102</v>
      </c>
      <c r="D45" s="232">
        <f t="shared" si="1"/>
        <v>0.78754804033154102</v>
      </c>
    </row>
    <row r="46" spans="2:4">
      <c r="B46" s="57">
        <v>2010</v>
      </c>
      <c r="C46" s="221">
        <v>80.043681175223568</v>
      </c>
      <c r="D46" s="232">
        <f t="shared" si="1"/>
        <v>0.80043681175223569</v>
      </c>
    </row>
    <row r="47" spans="2:4">
      <c r="B47" s="57">
        <v>2011</v>
      </c>
      <c r="C47" s="221">
        <v>82.556774434199113</v>
      </c>
      <c r="D47" s="232">
        <f t="shared" si="1"/>
        <v>0.82556774434199109</v>
      </c>
    </row>
    <row r="48" spans="2:4">
      <c r="B48" s="57">
        <v>2012</v>
      </c>
      <c r="C48" s="221">
        <v>84.268334029784583</v>
      </c>
      <c r="D48" s="232">
        <f t="shared" si="1"/>
        <v>0.84268334029784586</v>
      </c>
    </row>
    <row r="49" spans="2:6">
      <c r="B49" s="57">
        <v>2013</v>
      </c>
      <c r="C49" s="221">
        <v>85.503683833142645</v>
      </c>
      <c r="D49" s="232">
        <f t="shared" si="1"/>
        <v>0.85503683833142641</v>
      </c>
    </row>
    <row r="50" spans="2:6">
      <c r="B50" s="57">
        <v>2014</v>
      </c>
      <c r="C50" s="221">
        <v>86.884964455353355</v>
      </c>
      <c r="D50" s="232">
        <f t="shared" si="1"/>
        <v>0.86884964455353353</v>
      </c>
    </row>
    <row r="51" spans="2:6">
      <c r="B51" s="57">
        <v>2015</v>
      </c>
      <c r="C51" s="221">
        <v>86.990214496785342</v>
      </c>
      <c r="D51" s="232">
        <f t="shared" si="1"/>
        <v>0.86990214496785345</v>
      </c>
    </row>
    <row r="52" spans="2:6">
      <c r="B52" s="57">
        <v>2016</v>
      </c>
      <c r="C52" s="221">
        <v>88.092694151936314</v>
      </c>
      <c r="D52" s="232">
        <f t="shared" si="1"/>
        <v>0.88092694151936313</v>
      </c>
    </row>
    <row r="53" spans="2:6">
      <c r="B53" s="57">
        <v>2017</v>
      </c>
      <c r="C53" s="221">
        <v>89.97566357960109</v>
      </c>
      <c r="D53" s="232">
        <f t="shared" si="1"/>
        <v>0.89975663579601095</v>
      </c>
    </row>
    <row r="54" spans="2:6">
      <c r="B54" s="57">
        <v>2018</v>
      </c>
      <c r="C54" s="221">
        <v>92.165757583266611</v>
      </c>
      <c r="D54" s="232">
        <f t="shared" si="1"/>
        <v>0.92165757583266616</v>
      </c>
    </row>
    <row r="55" spans="2:6">
      <c r="B55" s="57">
        <v>2019</v>
      </c>
      <c r="C55" s="221">
        <v>93.835902312214799</v>
      </c>
      <c r="D55" s="232">
        <f t="shared" si="1"/>
        <v>0.93835902312214803</v>
      </c>
    </row>
    <row r="56" spans="2:6">
      <c r="B56" s="57">
        <v>2020</v>
      </c>
      <c r="C56" s="221">
        <v>95.007325179626093</v>
      </c>
      <c r="D56" s="232">
        <f t="shared" si="1"/>
        <v>0.9500732517962609</v>
      </c>
    </row>
    <row r="57" spans="2:6">
      <c r="B57" s="57">
        <v>2021</v>
      </c>
      <c r="C57" s="221">
        <v>97.619651400618736</v>
      </c>
      <c r="D57" s="232">
        <f t="shared" si="1"/>
        <v>0.97619651400618734</v>
      </c>
    </row>
    <row r="58" spans="2:6">
      <c r="B58" s="57">
        <v>2022</v>
      </c>
      <c r="C58" s="221">
        <v>100</v>
      </c>
      <c r="D58" s="232">
        <f t="shared" si="1"/>
        <v>1</v>
      </c>
      <c r="F58" s="275"/>
    </row>
    <row r="59" spans="2:6">
      <c r="B59" s="57">
        <v>2023</v>
      </c>
      <c r="C59" s="221">
        <v>102.32543488183042</v>
      </c>
      <c r="D59" s="232">
        <f t="shared" si="1"/>
        <v>1.0232543488183041</v>
      </c>
      <c r="F59" s="275"/>
    </row>
    <row r="60" spans="2:6">
      <c r="B60" s="57">
        <v>2024</v>
      </c>
      <c r="C60" s="221">
        <v>104.71193657284044</v>
      </c>
      <c r="D60" s="232">
        <f t="shared" si="1"/>
        <v>1.0471193657284044</v>
      </c>
      <c r="F60" s="275"/>
    </row>
    <row r="61" spans="2:6">
      <c r="B61" s="57">
        <v>2025</v>
      </c>
      <c r="C61" s="221">
        <v>107.16080191943588</v>
      </c>
      <c r="D61" s="232">
        <f t="shared" si="1"/>
        <v>1.0716080191943589</v>
      </c>
      <c r="F61" s="275"/>
    </row>
    <row r="62" spans="2:6">
      <c r="B62" s="57">
        <v>2026</v>
      </c>
      <c r="C62" s="221">
        <v>109.63757665422082</v>
      </c>
      <c r="D62" s="232">
        <f t="shared" si="1"/>
        <v>1.0963757665422083</v>
      </c>
      <c r="F62" s="275"/>
    </row>
    <row r="63" spans="2:6">
      <c r="B63" s="57">
        <v>2027</v>
      </c>
      <c r="C63" s="221">
        <v>111.99502092991037</v>
      </c>
      <c r="D63" s="232">
        <f t="shared" si="1"/>
        <v>1.1199502092991036</v>
      </c>
      <c r="F63" s="275"/>
    </row>
    <row r="64" spans="2:6">
      <c r="B64" s="57">
        <v>2028</v>
      </c>
      <c r="C64" s="221">
        <v>114.37105810725292</v>
      </c>
      <c r="D64" s="232">
        <f t="shared" si="1"/>
        <v>1.1437105810725292</v>
      </c>
      <c r="F64" s="275"/>
    </row>
    <row r="65" spans="2:6">
      <c r="B65" s="57">
        <v>2029</v>
      </c>
      <c r="C65" s="221">
        <v>116.77886122850276</v>
      </c>
      <c r="D65" s="232">
        <f t="shared" si="1"/>
        <v>1.1677886122850276</v>
      </c>
      <c r="F65" s="275"/>
    </row>
    <row r="66" spans="2:6">
      <c r="B66" s="57">
        <v>2030</v>
      </c>
      <c r="C66" s="221">
        <v>119.23248839120428</v>
      </c>
      <c r="D66" s="232">
        <f t="shared" si="1"/>
        <v>1.1923248839120428</v>
      </c>
      <c r="F66" s="275"/>
    </row>
    <row r="67" spans="2:6">
      <c r="B67" s="57">
        <v>2031</v>
      </c>
      <c r="C67" s="221">
        <v>121.74031741357936</v>
      </c>
      <c r="D67" s="232">
        <f t="shared" si="1"/>
        <v>1.2174031741357936</v>
      </c>
      <c r="F67" s="275"/>
    </row>
    <row r="68" spans="2:6">
      <c r="B68" s="57">
        <v>2032</v>
      </c>
      <c r="C68" s="221">
        <v>124.32656345680466</v>
      </c>
      <c r="D68" s="232">
        <f t="shared" si="1"/>
        <v>1.2432656345680466</v>
      </c>
      <c r="F68" s="275"/>
    </row>
    <row r="69" spans="2:6">
      <c r="B69" s="57">
        <v>2033</v>
      </c>
      <c r="C69" s="221">
        <v>126.99917201671637</v>
      </c>
      <c r="D69" s="232">
        <f t="shared" si="1"/>
        <v>1.2699917201671638</v>
      </c>
      <c r="F69" s="275"/>
    </row>
    <row r="70" spans="2:6">
      <c r="B70" s="57">
        <v>2034</v>
      </c>
      <c r="C70" s="221">
        <v>129.75937102072933</v>
      </c>
      <c r="D70" s="232">
        <f t="shared" ref="D70:D91" si="2">C70/INDEX($C$6:$C$91,MATCH($D$5,$B$6:$B$91,0))</f>
        <v>1.2975937102072934</v>
      </c>
      <c r="F70" s="275"/>
    </row>
    <row r="71" spans="2:6">
      <c r="B71" s="57">
        <v>2035</v>
      </c>
      <c r="C71" s="221">
        <v>132.59859179418149</v>
      </c>
      <c r="D71" s="232">
        <f t="shared" si="2"/>
        <v>1.325985917941815</v>
      </c>
      <c r="F71" s="275"/>
    </row>
    <row r="72" spans="2:6">
      <c r="B72" s="57">
        <v>2036</v>
      </c>
      <c r="C72" s="221">
        <v>135.52628406537579</v>
      </c>
      <c r="D72" s="232">
        <f t="shared" si="2"/>
        <v>1.3552628406537579</v>
      </c>
      <c r="F72" s="275"/>
    </row>
    <row r="73" spans="2:6">
      <c r="B73" s="57">
        <v>2037</v>
      </c>
      <c r="C73" s="221">
        <v>138.54056139678127</v>
      </c>
      <c r="D73" s="232">
        <f t="shared" si="2"/>
        <v>1.3854056139678128</v>
      </c>
      <c r="F73" s="275"/>
    </row>
    <row r="74" spans="2:6">
      <c r="B74" s="57">
        <v>2038</v>
      </c>
      <c r="C74" s="221">
        <v>141.64909194355283</v>
      </c>
      <c r="D74" s="232">
        <f t="shared" si="2"/>
        <v>1.4164909194355284</v>
      </c>
      <c r="F74" s="275"/>
    </row>
    <row r="75" spans="2:6">
      <c r="B75" s="57">
        <v>2039</v>
      </c>
      <c r="C75" s="221">
        <v>144.85206669315946</v>
      </c>
      <c r="D75" s="232">
        <f t="shared" si="2"/>
        <v>1.4485206669315946</v>
      </c>
      <c r="F75" s="275"/>
    </row>
    <row r="76" spans="2:6">
      <c r="B76" s="57">
        <v>2040</v>
      </c>
      <c r="C76" s="221">
        <v>148.14792315206685</v>
      </c>
      <c r="D76" s="232">
        <f t="shared" si="2"/>
        <v>1.4814792315206686</v>
      </c>
      <c r="F76" s="275"/>
    </row>
    <row r="77" spans="2:6">
      <c r="B77" s="57">
        <v>2041</v>
      </c>
      <c r="C77" s="221">
        <v>151.52149516489277</v>
      </c>
      <c r="D77" s="232">
        <f t="shared" si="2"/>
        <v>1.5152149516489277</v>
      </c>
      <c r="F77" s="275"/>
    </row>
    <row r="78" spans="2:6">
      <c r="B78" s="57">
        <v>2042</v>
      </c>
      <c r="C78" s="221">
        <v>154.95781377331838</v>
      </c>
      <c r="D78" s="232">
        <f t="shared" si="2"/>
        <v>1.5495781377331839</v>
      </c>
      <c r="F78" s="275"/>
    </row>
    <row r="79" spans="2:6">
      <c r="B79" s="57">
        <v>2043</v>
      </c>
      <c r="C79" s="221">
        <v>158.4770326158673</v>
      </c>
      <c r="D79" s="232">
        <f t="shared" si="2"/>
        <v>1.584770326158673</v>
      </c>
      <c r="F79" s="275"/>
    </row>
    <row r="80" spans="2:6">
      <c r="B80" s="57">
        <v>2044</v>
      </c>
      <c r="C80" s="221">
        <v>162.0801458912207</v>
      </c>
      <c r="D80" s="232">
        <f t="shared" si="2"/>
        <v>1.6208014589122071</v>
      </c>
      <c r="F80" s="275"/>
    </row>
    <row r="81" spans="2:6">
      <c r="B81" s="57">
        <v>2045</v>
      </c>
      <c r="C81" s="221">
        <v>165.75717088510586</v>
      </c>
      <c r="D81" s="232">
        <f t="shared" si="2"/>
        <v>1.6575717088510586</v>
      </c>
      <c r="F81" s="275"/>
    </row>
    <row r="82" spans="2:6">
      <c r="B82" s="57">
        <v>2046</v>
      </c>
      <c r="C82" s="221">
        <v>169.52155587812135</v>
      </c>
      <c r="D82" s="232">
        <f t="shared" si="2"/>
        <v>1.6952155587812134</v>
      </c>
      <c r="F82" s="275"/>
    </row>
    <row r="83" spans="2:6">
      <c r="B83" s="57">
        <v>2047</v>
      </c>
      <c r="C83" s="221">
        <v>173.37839319127147</v>
      </c>
      <c r="D83" s="232">
        <f t="shared" si="2"/>
        <v>1.7337839319127146</v>
      </c>
      <c r="F83" s="275"/>
    </row>
    <row r="84" spans="2:6">
      <c r="B84" s="57">
        <v>2048</v>
      </c>
      <c r="C84" s="221">
        <v>177.33045541199047</v>
      </c>
      <c r="D84" s="232">
        <f t="shared" si="2"/>
        <v>1.7733045541199046</v>
      </c>
      <c r="F84" s="275"/>
    </row>
    <row r="85" spans="2:6">
      <c r="B85" s="57">
        <v>2049</v>
      </c>
      <c r="C85" s="221">
        <v>181.36548393788212</v>
      </c>
      <c r="D85" s="232">
        <f t="shared" si="2"/>
        <v>1.8136548393788212</v>
      </c>
      <c r="F85" s="275"/>
    </row>
    <row r="86" spans="2:6">
      <c r="B86" s="57">
        <v>2050</v>
      </c>
      <c r="C86" s="221">
        <v>185.47829720863663</v>
      </c>
      <c r="D86" s="232">
        <f t="shared" si="2"/>
        <v>1.8547829720863662</v>
      </c>
      <c r="F86" s="275"/>
    </row>
    <row r="87" spans="2:6">
      <c r="B87" s="69">
        <v>2051</v>
      </c>
      <c r="C87" s="227">
        <f>_xlfn.FORECAST.LINEAR(B87,C81:C86,B81:B86)</f>
        <v>189.28084055393356</v>
      </c>
      <c r="D87" s="232">
        <f t="shared" si="2"/>
        <v>1.8928084055393355</v>
      </c>
    </row>
    <row r="88" spans="2:6">
      <c r="B88" s="69">
        <v>2052</v>
      </c>
      <c r="C88" s="227">
        <f t="shared" ref="C88:C91" si="3">_xlfn.FORECAST.LINEAR(B88,C82:C87,B82:B87)</f>
        <v>193.30562075934358</v>
      </c>
      <c r="D88" s="232">
        <f t="shared" si="2"/>
        <v>1.9330562075934359</v>
      </c>
    </row>
    <row r="89" spans="2:6">
      <c r="B89" s="69">
        <v>2053</v>
      </c>
      <c r="C89" s="227">
        <f t="shared" si="3"/>
        <v>197.31652583087089</v>
      </c>
      <c r="D89" s="232">
        <f t="shared" si="2"/>
        <v>1.9731652583087089</v>
      </c>
    </row>
    <row r="90" spans="2:6">
      <c r="B90" s="69">
        <v>2054</v>
      </c>
      <c r="C90" s="227">
        <f t="shared" si="3"/>
        <v>201.30153454085121</v>
      </c>
      <c r="D90" s="232">
        <f t="shared" si="2"/>
        <v>2.0130153454085122</v>
      </c>
    </row>
    <row r="91" spans="2:6">
      <c r="B91" s="69">
        <v>2055</v>
      </c>
      <c r="C91" s="227">
        <f t="shared" si="3"/>
        <v>205.26335571394884</v>
      </c>
      <c r="D91" s="232">
        <f t="shared" si="2"/>
        <v>2.0526335571394885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B12B-BEE4-4573-848A-670F6FF75489}">
  <sheetPr codeName="Sheet10">
    <tabColor theme="0" tint="-0.499984740745262"/>
  </sheetPr>
  <dimension ref="B2:O24"/>
  <sheetViews>
    <sheetView workbookViewId="0">
      <pane ySplit="2" topLeftCell="A14" activePane="bottomLeft" state="frozen"/>
      <selection pane="bottomLeft" activeCell="I7" sqref="I7"/>
    </sheetView>
  </sheetViews>
  <sheetFormatPr baseColWidth="10" defaultColWidth="9.3984375" defaultRowHeight="15"/>
  <cols>
    <col min="1" max="1" width="8.59765625" style="112" customWidth="1"/>
    <col min="2" max="2" width="9.3984375" style="112"/>
    <col min="3" max="3" width="15" style="112" customWidth="1"/>
    <col min="4" max="4" width="29.3984375" style="112" customWidth="1"/>
    <col min="5" max="5" width="43.59765625" style="112" customWidth="1"/>
    <col min="6" max="6" width="35.3984375" style="112" customWidth="1"/>
    <col min="7" max="7" width="21.3984375" style="112" customWidth="1"/>
    <col min="8" max="8" width="13" style="112" customWidth="1"/>
    <col min="9" max="9" width="12" style="112" customWidth="1"/>
    <col min="10" max="10" width="29" style="112" customWidth="1"/>
    <col min="11" max="11" width="22.3984375" style="112" customWidth="1"/>
    <col min="12" max="12" width="41.59765625" style="112" customWidth="1"/>
    <col min="13" max="15" width="27" style="112" customWidth="1"/>
    <col min="16" max="16384" width="9.3984375" style="112"/>
  </cols>
  <sheetData>
    <row r="2" spans="2:15" s="153" customFormat="1" ht="28">
      <c r="B2" s="235" t="s">
        <v>220</v>
      </c>
      <c r="C2" s="235" t="s">
        <v>221</v>
      </c>
      <c r="D2" s="235" t="s">
        <v>222</v>
      </c>
      <c r="E2" s="235" t="s">
        <v>223</v>
      </c>
      <c r="F2" s="235" t="s">
        <v>224</v>
      </c>
      <c r="G2" s="235" t="s">
        <v>225</v>
      </c>
      <c r="H2" s="235" t="s">
        <v>226</v>
      </c>
      <c r="I2" s="235" t="s">
        <v>227</v>
      </c>
      <c r="J2" s="235" t="s">
        <v>228</v>
      </c>
      <c r="K2" s="235" t="s">
        <v>229</v>
      </c>
      <c r="L2" s="235" t="s">
        <v>230</v>
      </c>
      <c r="M2" s="235" t="s">
        <v>231</v>
      </c>
      <c r="N2" s="235" t="s">
        <v>232</v>
      </c>
      <c r="O2" s="235" t="s">
        <v>233</v>
      </c>
    </row>
    <row r="3" spans="2:15" ht="112">
      <c r="B3" s="161">
        <v>7.6100000000000001E-2</v>
      </c>
      <c r="C3" s="112" t="s">
        <v>241</v>
      </c>
      <c r="D3" s="112" t="s">
        <v>242</v>
      </c>
      <c r="E3" s="112" t="s">
        <v>243</v>
      </c>
      <c r="G3" s="112">
        <v>2</v>
      </c>
      <c r="H3" s="166">
        <v>46107</v>
      </c>
      <c r="I3" s="166">
        <v>46009</v>
      </c>
      <c r="K3" s="112" t="s">
        <v>244</v>
      </c>
      <c r="L3" s="154" t="s">
        <v>245</v>
      </c>
      <c r="N3" s="228" t="s">
        <v>246</v>
      </c>
      <c r="O3" s="162" t="s">
        <v>247</v>
      </c>
    </row>
    <row r="4" spans="2:15" ht="112">
      <c r="B4" s="161">
        <v>7.5200000000000003E-2</v>
      </c>
      <c r="C4" s="112" t="s">
        <v>241</v>
      </c>
      <c r="D4" s="112" t="s">
        <v>248</v>
      </c>
      <c r="E4" s="112" t="s">
        <v>249</v>
      </c>
      <c r="G4" s="112">
        <v>2</v>
      </c>
      <c r="H4" s="166">
        <v>46107</v>
      </c>
      <c r="I4" s="166">
        <v>46009</v>
      </c>
      <c r="K4" s="112" t="s">
        <v>244</v>
      </c>
      <c r="L4" s="154" t="s">
        <v>245</v>
      </c>
      <c r="N4" s="228" t="s">
        <v>246</v>
      </c>
      <c r="O4" s="162" t="s">
        <v>247</v>
      </c>
    </row>
    <row r="5" spans="2:15" s="117" customFormat="1" ht="112">
      <c r="B5" s="161">
        <v>7.4099999999999999E-2</v>
      </c>
      <c r="C5" s="112" t="s">
        <v>241</v>
      </c>
      <c r="D5" s="112" t="s">
        <v>250</v>
      </c>
      <c r="E5" s="112" t="s">
        <v>251</v>
      </c>
      <c r="F5" s="112"/>
      <c r="G5" s="112">
        <v>2</v>
      </c>
      <c r="H5" s="166">
        <v>46107</v>
      </c>
      <c r="I5" s="166">
        <v>46009</v>
      </c>
      <c r="J5" s="112"/>
      <c r="K5" s="112" t="s">
        <v>244</v>
      </c>
      <c r="L5" s="154" t="s">
        <v>245</v>
      </c>
      <c r="M5" s="112"/>
      <c r="N5" s="228" t="s">
        <v>246</v>
      </c>
      <c r="O5" s="162" t="s">
        <v>247</v>
      </c>
    </row>
    <row r="6" spans="2:15" ht="48">
      <c r="B6" s="163">
        <v>114</v>
      </c>
      <c r="C6" s="154" t="s">
        <v>252</v>
      </c>
      <c r="D6" s="154" t="s">
        <v>253</v>
      </c>
      <c r="E6" s="154" t="s">
        <v>434</v>
      </c>
      <c r="F6" s="154" t="s">
        <v>435</v>
      </c>
      <c r="G6" s="154" t="s">
        <v>436</v>
      </c>
      <c r="H6" s="164">
        <v>46247</v>
      </c>
      <c r="I6" s="164" t="s">
        <v>448</v>
      </c>
      <c r="J6" s="154" t="s">
        <v>437</v>
      </c>
      <c r="K6" s="154"/>
      <c r="L6" s="154" t="s">
        <v>435</v>
      </c>
      <c r="M6" s="154"/>
      <c r="N6" s="228" t="s">
        <v>438</v>
      </c>
      <c r="O6" s="165"/>
    </row>
    <row r="7" spans="2:15" ht="48">
      <c r="B7" s="160"/>
      <c r="D7" s="112" t="s">
        <v>254</v>
      </c>
      <c r="E7" s="112" t="s">
        <v>255</v>
      </c>
      <c r="F7" s="154" t="s">
        <v>256</v>
      </c>
      <c r="G7" s="112" t="s">
        <v>257</v>
      </c>
      <c r="H7" s="166">
        <v>46139</v>
      </c>
      <c r="I7" s="166">
        <v>46139</v>
      </c>
      <c r="J7" s="112" t="s">
        <v>258</v>
      </c>
      <c r="L7" s="154" t="s">
        <v>259</v>
      </c>
      <c r="O7" s="159"/>
    </row>
    <row r="8" spans="2:15" ht="48">
      <c r="B8" s="160"/>
      <c r="D8" s="112" t="s">
        <v>260</v>
      </c>
      <c r="E8" s="112" t="s">
        <v>261</v>
      </c>
      <c r="F8" s="154" t="s">
        <v>262</v>
      </c>
      <c r="G8" s="112" t="s">
        <v>263</v>
      </c>
      <c r="H8" s="166">
        <v>46101</v>
      </c>
      <c r="I8" s="166">
        <v>46101</v>
      </c>
      <c r="J8" s="112" t="s">
        <v>264</v>
      </c>
      <c r="L8" s="154" t="s">
        <v>265</v>
      </c>
      <c r="O8" s="159"/>
    </row>
    <row r="9" spans="2:15">
      <c r="B9" s="160">
        <v>0.186</v>
      </c>
      <c r="D9" s="112" t="s">
        <v>266</v>
      </c>
      <c r="E9" s="112" t="s">
        <v>267</v>
      </c>
      <c r="F9" s="112" t="s">
        <v>268</v>
      </c>
      <c r="N9" s="167" t="s">
        <v>269</v>
      </c>
      <c r="O9" s="168" t="s">
        <v>270</v>
      </c>
    </row>
    <row r="10" spans="2:15">
      <c r="B10" s="160">
        <v>117</v>
      </c>
      <c r="D10" s="112" t="s">
        <v>271</v>
      </c>
      <c r="E10" s="112" t="s">
        <v>272</v>
      </c>
      <c r="F10" s="112" t="s">
        <v>268</v>
      </c>
      <c r="N10" s="167" t="s">
        <v>269</v>
      </c>
      <c r="O10" s="168" t="s">
        <v>270</v>
      </c>
    </row>
    <row r="11" spans="2:15">
      <c r="B11" s="160">
        <v>11.34</v>
      </c>
      <c r="D11" s="112" t="s">
        <v>273</v>
      </c>
      <c r="E11" s="112" t="s">
        <v>274</v>
      </c>
      <c r="O11" s="159"/>
    </row>
    <row r="12" spans="2:15">
      <c r="B12" s="160">
        <v>15.86</v>
      </c>
      <c r="D12" s="112" t="s">
        <v>275</v>
      </c>
      <c r="E12" s="112" t="s">
        <v>276</v>
      </c>
      <c r="O12" s="159"/>
    </row>
    <row r="13" spans="2:15" ht="48">
      <c r="B13" s="160"/>
      <c r="D13" s="112" t="s">
        <v>277</v>
      </c>
      <c r="E13" s="112" t="s">
        <v>278</v>
      </c>
      <c r="F13" s="154" t="s">
        <v>279</v>
      </c>
      <c r="G13" s="223" t="s">
        <v>280</v>
      </c>
      <c r="H13" s="166">
        <v>46099</v>
      </c>
      <c r="I13" s="166">
        <v>46099</v>
      </c>
      <c r="J13" s="112" t="s">
        <v>124</v>
      </c>
      <c r="L13" s="154" t="s">
        <v>281</v>
      </c>
      <c r="O13" s="159"/>
    </row>
    <row r="14" spans="2:15" ht="48">
      <c r="B14" s="160"/>
      <c r="D14" s="112" t="s">
        <v>277</v>
      </c>
      <c r="E14" s="112" t="s">
        <v>282</v>
      </c>
      <c r="F14" s="154" t="s">
        <v>262</v>
      </c>
      <c r="G14" s="155" t="s">
        <v>283</v>
      </c>
      <c r="H14" s="166">
        <v>46101</v>
      </c>
      <c r="I14" s="166">
        <v>46101</v>
      </c>
      <c r="J14" s="112" t="s">
        <v>264</v>
      </c>
      <c r="L14" s="154" t="s">
        <v>265</v>
      </c>
      <c r="O14" s="159"/>
    </row>
    <row r="15" spans="2:15" ht="48">
      <c r="B15" s="160"/>
      <c r="D15" s="112" t="s">
        <v>284</v>
      </c>
      <c r="E15" s="112" t="s">
        <v>285</v>
      </c>
      <c r="F15" s="154" t="s">
        <v>279</v>
      </c>
      <c r="G15" s="223" t="s">
        <v>286</v>
      </c>
      <c r="H15" s="166">
        <v>46099</v>
      </c>
      <c r="I15" s="166">
        <v>46099</v>
      </c>
      <c r="J15" s="112" t="s">
        <v>124</v>
      </c>
      <c r="L15" s="154" t="s">
        <v>281</v>
      </c>
      <c r="O15" s="159"/>
    </row>
    <row r="16" spans="2:15" ht="48">
      <c r="B16" s="160"/>
      <c r="D16" s="112" t="s">
        <v>284</v>
      </c>
      <c r="E16" s="112" t="s">
        <v>287</v>
      </c>
      <c r="F16" s="154" t="s">
        <v>262</v>
      </c>
      <c r="G16" s="155" t="s">
        <v>288</v>
      </c>
      <c r="H16" s="166">
        <v>46101</v>
      </c>
      <c r="I16" s="166">
        <v>46101</v>
      </c>
      <c r="J16" s="112" t="s">
        <v>264</v>
      </c>
      <c r="L16" s="154" t="s">
        <v>265</v>
      </c>
      <c r="O16" s="159"/>
    </row>
    <row r="17" spans="2:15" ht="56">
      <c r="B17" s="160"/>
      <c r="D17" s="112" t="s">
        <v>289</v>
      </c>
      <c r="F17" s="155" t="s">
        <v>234</v>
      </c>
      <c r="G17" s="112" t="s">
        <v>235</v>
      </c>
      <c r="H17" s="156">
        <v>46105</v>
      </c>
      <c r="I17" s="156">
        <v>44986</v>
      </c>
      <c r="J17" s="155" t="s">
        <v>236</v>
      </c>
      <c r="K17" s="155" t="s">
        <v>237</v>
      </c>
      <c r="L17" s="155" t="s">
        <v>238</v>
      </c>
      <c r="M17" s="157"/>
      <c r="N17" s="228" t="s">
        <v>239</v>
      </c>
      <c r="O17" s="158" t="s">
        <v>240</v>
      </c>
    </row>
    <row r="18" spans="2:15" ht="56">
      <c r="B18" s="160"/>
      <c r="D18" s="112" t="s">
        <v>290</v>
      </c>
      <c r="F18" s="155" t="s">
        <v>234</v>
      </c>
      <c r="G18" s="112" t="s">
        <v>290</v>
      </c>
      <c r="H18" s="156">
        <v>46105</v>
      </c>
      <c r="I18" s="156">
        <v>44986</v>
      </c>
      <c r="J18" s="155" t="s">
        <v>236</v>
      </c>
      <c r="K18" s="155" t="s">
        <v>237</v>
      </c>
      <c r="L18" s="155" t="s">
        <v>238</v>
      </c>
      <c r="M18" s="157"/>
      <c r="N18" s="157" t="s">
        <v>239</v>
      </c>
      <c r="O18" s="158" t="s">
        <v>240</v>
      </c>
    </row>
    <row r="19" spans="2:15">
      <c r="B19" s="160"/>
      <c r="E19" s="112" t="s">
        <v>160</v>
      </c>
      <c r="O19" s="159"/>
    </row>
    <row r="20" spans="2:15">
      <c r="B20" s="160"/>
      <c r="E20" s="112" t="s">
        <v>161</v>
      </c>
      <c r="O20" s="159"/>
    </row>
    <row r="21" spans="2:15" ht="48">
      <c r="B21" s="160">
        <v>1.23</v>
      </c>
      <c r="C21" s="112" t="s">
        <v>291</v>
      </c>
      <c r="D21" s="112" t="s">
        <v>292</v>
      </c>
      <c r="E21" s="112" t="s">
        <v>111</v>
      </c>
      <c r="F21" s="154" t="s">
        <v>293</v>
      </c>
      <c r="G21" s="154" t="s">
        <v>294</v>
      </c>
      <c r="I21" s="156">
        <v>44197</v>
      </c>
      <c r="J21" s="154" t="s">
        <v>295</v>
      </c>
      <c r="N21" s="157" t="s">
        <v>296</v>
      </c>
      <c r="O21" s="159"/>
    </row>
    <row r="22" spans="2:15" ht="96">
      <c r="B22" s="160">
        <v>51</v>
      </c>
      <c r="C22" s="112" t="s">
        <v>297</v>
      </c>
      <c r="D22" s="112" t="s">
        <v>298</v>
      </c>
      <c r="E22" s="112" t="s">
        <v>299</v>
      </c>
      <c r="F22" s="154" t="s">
        <v>300</v>
      </c>
      <c r="G22" s="154" t="s">
        <v>301</v>
      </c>
      <c r="I22" s="156">
        <v>44228</v>
      </c>
      <c r="J22" s="154" t="s">
        <v>302</v>
      </c>
      <c r="N22" s="169" t="s">
        <v>303</v>
      </c>
      <c r="O22" s="159"/>
    </row>
    <row r="23" spans="2:15">
      <c r="B23" s="161">
        <v>6.1000000000000004E-3</v>
      </c>
      <c r="C23" s="112" t="s">
        <v>241</v>
      </c>
      <c r="D23" s="112" t="s">
        <v>304</v>
      </c>
      <c r="E23" s="170" t="s">
        <v>305</v>
      </c>
      <c r="F23" s="170" t="s">
        <v>306</v>
      </c>
      <c r="O23" s="159"/>
    </row>
    <row r="24" spans="2:15">
      <c r="B24" s="171">
        <v>2.3E-2</v>
      </c>
      <c r="C24" s="172" t="s">
        <v>241</v>
      </c>
      <c r="D24" s="172" t="s">
        <v>307</v>
      </c>
      <c r="E24" s="172" t="s">
        <v>308</v>
      </c>
      <c r="F24" s="172" t="s">
        <v>309</v>
      </c>
      <c r="G24" s="172" t="s">
        <v>310</v>
      </c>
      <c r="H24" s="172"/>
      <c r="I24" s="173">
        <v>45436</v>
      </c>
      <c r="J24" s="172" t="s">
        <v>311</v>
      </c>
      <c r="K24" s="172" t="s">
        <v>312</v>
      </c>
      <c r="L24" s="172"/>
      <c r="M24" s="172"/>
      <c r="N24" s="172"/>
      <c r="O24" s="174"/>
    </row>
  </sheetData>
  <phoneticPr fontId="17" type="noConversion"/>
  <hyperlinks>
    <hyperlink ref="N9" r:id="rId1" xr:uid="{7410B0CB-4A35-4F20-987A-B3E104EFBE3F}"/>
    <hyperlink ref="N10:N13" r:id="rId2" display="https://www.epa.gov/sites/default/files/2020-09/documents/1.4_natural_gas_combustion.pdf" xr:uid="{E6E9491C-8F2A-4827-9515-AF2B762B1E52}"/>
    <hyperlink ref="O9" r:id="rId3" xr:uid="{D168FAD2-5149-4508-AE00-96DC71A8E600}"/>
    <hyperlink ref="O17" r:id="rId4" xr:uid="{D20D1253-B8C3-4C03-A9CB-05908CB8CDC1}"/>
    <hyperlink ref="O18" r:id="rId5" xr:uid="{1F333003-4B9F-44CA-9116-7AA977FE7F89}"/>
    <hyperlink ref="N21" r:id="rId6" xr:uid="{B51B477A-94CD-4128-A4B2-7567A59D3277}"/>
    <hyperlink ref="N22" r:id="rId7" xr:uid="{A38BA55C-43F4-4B04-A6FB-B3E7E3EEB51B}"/>
    <hyperlink ref="N11" r:id="rId8" display="https://www.epa.gov/sites/default/files/2020-09/documents/1.4_natural_gas_combustion.pdf" xr:uid="{214DD922-0F0B-428F-AE78-6D257F77DC09}"/>
    <hyperlink ref="N12" r:id="rId9" display="https://www.epa.gov/sites/default/files/2020-09/documents/1.4_natural_gas_combustion.pdf" xr:uid="{1801C7DC-3A41-491F-A960-28BDAA982116}"/>
    <hyperlink ref="N3" r:id="rId10" xr:uid="{3BB04874-94B6-4BB5-91E7-8594F195120D}"/>
    <hyperlink ref="N4" r:id="rId11" xr:uid="{54F3E02E-E8FA-4DC8-AE30-823B5C2DBDCC}"/>
    <hyperlink ref="N5" r:id="rId12" xr:uid="{5B88AD80-7B0A-4848-8EEF-72A77348DA1C}"/>
    <hyperlink ref="N17" r:id="rId13" xr:uid="{3A1FBAA5-D6B5-41DF-90BC-98C63FF8085F}"/>
    <hyperlink ref="N6" r:id="rId14" xr:uid="{12A386BC-E17C-435A-8590-727F8F1BE708}"/>
  </hyperlinks>
  <pageMargins left="0.7" right="0.7" top="0.75" bottom="0.75" header="0.3" footer="0.3"/>
  <pageSetup orientation="portrait" horizontalDpi="90" verticalDpi="90" r:id="rId1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0" tint="-0.499984740745262"/>
  </sheetPr>
  <dimension ref="A2:AA22"/>
  <sheetViews>
    <sheetView workbookViewId="0"/>
  </sheetViews>
  <sheetFormatPr baseColWidth="10" defaultColWidth="9.3984375" defaultRowHeight="15"/>
  <cols>
    <col min="1" max="1" width="8.59765625" style="112" customWidth="1"/>
    <col min="2" max="2" width="27" style="112" customWidth="1"/>
    <col min="3" max="3" width="30" style="112" bestFit="1" customWidth="1"/>
    <col min="4" max="4" width="31.3984375" style="112" bestFit="1" customWidth="1"/>
    <col min="5" max="5" width="24.59765625" style="112" bestFit="1" customWidth="1"/>
    <col min="6" max="6" width="11.3984375" style="112" customWidth="1"/>
    <col min="7" max="16384" width="9.3984375" style="112"/>
  </cols>
  <sheetData>
    <row r="2" spans="1:27">
      <c r="A2" s="234"/>
      <c r="B2" s="234" t="s">
        <v>313</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row>
    <row r="3" spans="1:27">
      <c r="A3"/>
      <c r="B3"/>
      <c r="C3"/>
      <c r="D3"/>
      <c r="E3"/>
      <c r="F3"/>
      <c r="G3"/>
      <c r="H3"/>
      <c r="I3"/>
      <c r="J3"/>
      <c r="K3"/>
      <c r="L3"/>
      <c r="M3"/>
      <c r="N3"/>
      <c r="O3"/>
      <c r="P3"/>
      <c r="Q3"/>
      <c r="R3"/>
      <c r="S3"/>
      <c r="T3"/>
      <c r="U3"/>
      <c r="V3"/>
      <c r="W3"/>
      <c r="X3"/>
      <c r="Y3"/>
      <c r="Z3"/>
      <c r="AA3"/>
    </row>
    <row r="4" spans="1:27">
      <c r="B4" s="234" t="s">
        <v>17</v>
      </c>
      <c r="C4" s="234" t="s">
        <v>19</v>
      </c>
      <c r="D4" s="234" t="s">
        <v>21</v>
      </c>
      <c r="E4" s="234" t="s">
        <v>23</v>
      </c>
      <c r="F4" s="234" t="s">
        <v>314</v>
      </c>
      <c r="G4" s="234" t="s">
        <v>315</v>
      </c>
    </row>
    <row r="5" spans="1:27">
      <c r="B5" s="112" t="s">
        <v>124</v>
      </c>
      <c r="C5" s="112" t="s">
        <v>20</v>
      </c>
      <c r="D5" s="112" t="s">
        <v>101</v>
      </c>
      <c r="E5" s="112" t="str">
        <f>IF('User Dashboard'!$C$7=$D$7,Lists!C11,Lists!B11)</f>
        <v>Uncontrolled</v>
      </c>
      <c r="F5" s="112" t="s">
        <v>166</v>
      </c>
      <c r="G5" s="112" t="s">
        <v>28</v>
      </c>
    </row>
    <row r="6" spans="1:27">
      <c r="B6" s="112" t="s">
        <v>18</v>
      </c>
      <c r="C6" s="112" t="s">
        <v>125</v>
      </c>
      <c r="D6" s="112" t="s">
        <v>22</v>
      </c>
      <c r="E6" s="112" t="str">
        <f>IF('User Dashboard'!$C$7=$D$7,Lists!C12,Lists!B12)</f>
        <v/>
      </c>
      <c r="F6" s="112" t="s">
        <v>26</v>
      </c>
      <c r="G6" s="112" t="s">
        <v>316</v>
      </c>
    </row>
    <row r="7" spans="1:27">
      <c r="B7" s="112" t="s">
        <v>127</v>
      </c>
      <c r="C7" s="112" t="s">
        <v>126</v>
      </c>
      <c r="D7" s="112" t="s">
        <v>104</v>
      </c>
      <c r="E7" s="112" t="str">
        <f>IF('User Dashboard'!$C$7=$D$7,Lists!C13,Lists!B13)</f>
        <v/>
      </c>
    </row>
    <row r="9" spans="1:27">
      <c r="B9" s="234" t="s">
        <v>317</v>
      </c>
      <c r="C9" s="234"/>
    </row>
    <row r="10" spans="1:27">
      <c r="B10" s="234" t="s">
        <v>318</v>
      </c>
      <c r="C10" s="234" t="s">
        <v>104</v>
      </c>
    </row>
    <row r="11" spans="1:27">
      <c r="B11" s="160" t="s">
        <v>24</v>
      </c>
      <c r="C11" s="175" t="s">
        <v>24</v>
      </c>
    </row>
    <row r="12" spans="1:27">
      <c r="B12" s="160" t="s">
        <v>102</v>
      </c>
      <c r="C12" s="175" t="str">
        <f>""</f>
        <v/>
      </c>
    </row>
    <row r="13" spans="1:27">
      <c r="B13" s="176" t="s">
        <v>103</v>
      </c>
      <c r="C13" s="177" t="str">
        <f>""</f>
        <v/>
      </c>
    </row>
    <row r="16" spans="1:27">
      <c r="A16" s="234"/>
      <c r="B16" s="234" t="s">
        <v>319</v>
      </c>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row>
    <row r="17" spans="1:27">
      <c r="A17"/>
      <c r="B17"/>
      <c r="C17"/>
      <c r="D17"/>
      <c r="E17"/>
      <c r="F17"/>
      <c r="G17"/>
      <c r="H17"/>
      <c r="I17"/>
      <c r="J17"/>
      <c r="K17"/>
      <c r="L17"/>
      <c r="M17"/>
      <c r="N17"/>
      <c r="O17"/>
      <c r="P17"/>
      <c r="Q17"/>
      <c r="R17"/>
      <c r="S17"/>
      <c r="T17"/>
      <c r="U17"/>
      <c r="V17"/>
      <c r="W17"/>
      <c r="X17"/>
      <c r="Y17"/>
      <c r="Z17"/>
      <c r="AA17"/>
    </row>
    <row r="18" spans="1:27">
      <c r="B18" s="234" t="s">
        <v>188</v>
      </c>
      <c r="C18" s="234" t="s">
        <v>174</v>
      </c>
      <c r="D18" s="234" t="s">
        <v>320</v>
      </c>
    </row>
    <row r="19" spans="1:27">
      <c r="B19" s="112" t="s">
        <v>194</v>
      </c>
      <c r="C19" s="112" t="s">
        <v>180</v>
      </c>
      <c r="D19" s="112" t="s">
        <v>321</v>
      </c>
    </row>
    <row r="20" spans="1:27">
      <c r="B20" s="112" t="s">
        <v>179</v>
      </c>
      <c r="C20" s="112" t="s">
        <v>189</v>
      </c>
      <c r="D20" s="112" t="s">
        <v>322</v>
      </c>
    </row>
    <row r="21" spans="1:27">
      <c r="C21" s="112" t="s">
        <v>190</v>
      </c>
    </row>
    <row r="22" spans="1:27">
      <c r="C22" s="112" t="s">
        <v>191</v>
      </c>
    </row>
  </sheetData>
  <phoneticPr fontId="6"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18D5B-7A5A-4AEA-AC3A-61AB7595CD4B}">
  <sheetPr codeName="Sheet11">
    <tabColor theme="0" tint="-0.499984740745262"/>
  </sheetPr>
  <dimension ref="A2:Q62"/>
  <sheetViews>
    <sheetView zoomScale="90" zoomScaleNormal="90" workbookViewId="0">
      <pane ySplit="2" topLeftCell="A12" activePane="bottomLeft" state="frozen"/>
      <selection pane="bottomLeft" activeCell="F16" sqref="F16"/>
    </sheetView>
  </sheetViews>
  <sheetFormatPr baseColWidth="10" defaultColWidth="9.3984375" defaultRowHeight="15"/>
  <cols>
    <col min="1" max="1" width="11" style="112" customWidth="1"/>
    <col min="2" max="2" width="13.3984375" style="112" customWidth="1"/>
    <col min="3" max="3" width="13" style="112" customWidth="1"/>
    <col min="4" max="4" width="20" style="112" customWidth="1"/>
    <col min="5" max="5" width="12" style="112" customWidth="1"/>
    <col min="6" max="6" width="79.3984375" style="112" customWidth="1"/>
    <col min="7" max="7" width="75.3984375" style="112" customWidth="1"/>
    <col min="8" max="16384" width="9.3984375" style="112"/>
  </cols>
  <sheetData>
    <row r="2" spans="1:17" s="234" customFormat="1" ht="13">
      <c r="C2" s="234" t="s">
        <v>205</v>
      </c>
      <c r="D2" s="234" t="s">
        <v>323</v>
      </c>
      <c r="E2" s="234" t="s">
        <v>324</v>
      </c>
      <c r="F2" s="234" t="s">
        <v>325</v>
      </c>
      <c r="G2" s="234" t="s">
        <v>326</v>
      </c>
    </row>
    <row r="3" spans="1:17" s="178" customFormat="1">
      <c r="A3" s="88"/>
      <c r="B3" s="88">
        <v>2020</v>
      </c>
      <c r="C3" s="88"/>
      <c r="D3" s="88"/>
      <c r="E3" s="88"/>
      <c r="F3" s="88"/>
      <c r="G3" s="88"/>
      <c r="H3" s="88"/>
      <c r="I3" s="88"/>
      <c r="J3" s="88"/>
      <c r="K3" s="88"/>
      <c r="L3" s="88"/>
      <c r="M3" s="88"/>
      <c r="N3" s="88"/>
      <c r="O3" s="88"/>
      <c r="P3" s="88"/>
      <c r="Q3" s="88"/>
    </row>
    <row r="4" spans="1:17">
      <c r="B4" s="112" t="s">
        <v>327</v>
      </c>
      <c r="C4" s="166">
        <v>43964</v>
      </c>
      <c r="D4" s="112" t="s">
        <v>328</v>
      </c>
      <c r="E4" s="112" t="s">
        <v>329</v>
      </c>
      <c r="F4" s="112" t="s">
        <v>330</v>
      </c>
    </row>
    <row r="5" spans="1:17">
      <c r="F5" s="112" t="s">
        <v>331</v>
      </c>
    </row>
    <row r="6" spans="1:17">
      <c r="D6" s="112" t="s">
        <v>332</v>
      </c>
      <c r="F6" s="112" t="s">
        <v>333</v>
      </c>
    </row>
    <row r="7" spans="1:17">
      <c r="B7" s="112" t="s">
        <v>334</v>
      </c>
      <c r="C7" s="166">
        <v>43999</v>
      </c>
      <c r="D7" s="112" t="s">
        <v>335</v>
      </c>
      <c r="E7" s="112" t="s">
        <v>336</v>
      </c>
      <c r="F7" s="112" t="s">
        <v>337</v>
      </c>
    </row>
    <row r="8" spans="1:17">
      <c r="D8" s="112" t="s">
        <v>135</v>
      </c>
      <c r="E8" s="112" t="s">
        <v>338</v>
      </c>
      <c r="F8" s="112" t="s">
        <v>339</v>
      </c>
    </row>
    <row r="9" spans="1:17" s="178" customFormat="1">
      <c r="A9" s="88"/>
      <c r="B9" s="88">
        <v>2021</v>
      </c>
      <c r="C9" s="88"/>
      <c r="D9" s="88"/>
      <c r="E9" s="88"/>
      <c r="F9" s="88"/>
      <c r="G9" s="88"/>
      <c r="H9" s="88"/>
      <c r="I9" s="88"/>
      <c r="J9" s="88"/>
      <c r="K9" s="88"/>
      <c r="L9" s="88"/>
      <c r="M9" s="88"/>
      <c r="N9" s="88"/>
      <c r="O9" s="88"/>
      <c r="P9" s="88"/>
      <c r="Q9" s="88"/>
    </row>
    <row r="10" spans="1:17">
      <c r="B10" s="112" t="s">
        <v>340</v>
      </c>
      <c r="C10" s="166">
        <v>44298</v>
      </c>
      <c r="D10" s="112" t="s">
        <v>341</v>
      </c>
      <c r="F10" s="112" t="s">
        <v>342</v>
      </c>
    </row>
    <row r="11" spans="1:17">
      <c r="D11" s="112" t="s">
        <v>343</v>
      </c>
      <c r="F11" s="112" t="s">
        <v>344</v>
      </c>
    </row>
    <row r="12" spans="1:17">
      <c r="D12" s="112" t="s">
        <v>328</v>
      </c>
      <c r="E12" s="112" t="s">
        <v>329</v>
      </c>
      <c r="F12" s="112" t="s">
        <v>345</v>
      </c>
    </row>
    <row r="13" spans="1:17" s="179" customFormat="1">
      <c r="B13" s="112"/>
      <c r="C13" s="112"/>
      <c r="D13" s="112" t="s">
        <v>135</v>
      </c>
      <c r="E13" s="112" t="s">
        <v>338</v>
      </c>
      <c r="F13" s="112" t="s">
        <v>346</v>
      </c>
      <c r="G13" s="112"/>
      <c r="H13" s="112"/>
      <c r="I13" s="112"/>
      <c r="J13" s="112"/>
      <c r="K13" s="112"/>
    </row>
    <row r="14" spans="1:17" s="178" customFormat="1">
      <c r="A14" s="88"/>
      <c r="B14" s="88">
        <v>2022</v>
      </c>
      <c r="C14" s="88"/>
      <c r="D14" s="88"/>
      <c r="E14" s="88"/>
      <c r="F14" s="88"/>
      <c r="G14" s="88"/>
      <c r="H14" s="88"/>
      <c r="I14" s="88"/>
      <c r="J14" s="88"/>
      <c r="K14" s="88"/>
      <c r="L14" s="88"/>
      <c r="M14" s="88"/>
      <c r="N14" s="88"/>
      <c r="O14" s="88"/>
      <c r="P14" s="88"/>
      <c r="Q14" s="88"/>
    </row>
    <row r="15" spans="1:17">
      <c r="B15" s="112" t="s">
        <v>340</v>
      </c>
      <c r="D15" s="112" t="s">
        <v>343</v>
      </c>
      <c r="F15" s="112" t="s">
        <v>347</v>
      </c>
    </row>
    <row r="16" spans="1:17">
      <c r="D16" s="112" t="s">
        <v>348</v>
      </c>
      <c r="E16" s="112" t="s">
        <v>349</v>
      </c>
      <c r="F16" s="112" t="s">
        <v>350</v>
      </c>
    </row>
    <row r="17" spans="1:17">
      <c r="D17" s="112" t="s">
        <v>348</v>
      </c>
      <c r="F17" s="112" t="s">
        <v>351</v>
      </c>
    </row>
    <row r="18" spans="1:17">
      <c r="D18" s="112" t="s">
        <v>352</v>
      </c>
      <c r="E18" s="112" t="s">
        <v>353</v>
      </c>
      <c r="F18" s="112" t="s">
        <v>354</v>
      </c>
    </row>
    <row r="19" spans="1:17">
      <c r="D19" s="112" t="s">
        <v>341</v>
      </c>
      <c r="E19" s="112" t="s">
        <v>355</v>
      </c>
      <c r="F19" s="112" t="s">
        <v>356</v>
      </c>
    </row>
    <row r="20" spans="1:17">
      <c r="C20" s="166">
        <v>44648</v>
      </c>
      <c r="D20" s="112" t="s">
        <v>328</v>
      </c>
      <c r="E20" s="112" t="s">
        <v>357</v>
      </c>
      <c r="F20" s="112" t="s">
        <v>358</v>
      </c>
    </row>
    <row r="21" spans="1:17">
      <c r="C21" s="166">
        <v>44704</v>
      </c>
      <c r="D21" s="112" t="s">
        <v>359</v>
      </c>
      <c r="F21" s="112" t="s">
        <v>360</v>
      </c>
    </row>
    <row r="22" spans="1:17">
      <c r="C22" s="166">
        <v>44720</v>
      </c>
      <c r="D22" s="112" t="s">
        <v>335</v>
      </c>
      <c r="E22" s="112" t="s">
        <v>336</v>
      </c>
      <c r="F22" s="112" t="s">
        <v>361</v>
      </c>
    </row>
    <row r="23" spans="1:17">
      <c r="B23" s="112" t="s">
        <v>362</v>
      </c>
      <c r="C23" s="166">
        <v>44756</v>
      </c>
      <c r="D23" s="112" t="s">
        <v>328</v>
      </c>
      <c r="E23" s="112" t="s">
        <v>363</v>
      </c>
      <c r="F23" s="112" t="s">
        <v>364</v>
      </c>
    </row>
    <row r="24" spans="1:17">
      <c r="D24" s="112" t="s">
        <v>365</v>
      </c>
      <c r="F24" s="112" t="s">
        <v>366</v>
      </c>
    </row>
    <row r="25" spans="1:17">
      <c r="C25" s="166">
        <v>44760</v>
      </c>
      <c r="D25" s="112" t="s">
        <v>328</v>
      </c>
      <c r="E25" s="112" t="s">
        <v>367</v>
      </c>
      <c r="F25" s="112" t="s">
        <v>368</v>
      </c>
    </row>
    <row r="26" spans="1:17" s="178" customFormat="1">
      <c r="A26" s="88"/>
      <c r="B26" s="88">
        <v>2024</v>
      </c>
      <c r="C26" s="88"/>
      <c r="D26" s="88"/>
      <c r="E26" s="88"/>
      <c r="F26" s="88"/>
      <c r="G26" s="88"/>
      <c r="H26" s="88"/>
      <c r="I26" s="88"/>
      <c r="J26" s="88"/>
      <c r="K26" s="88"/>
      <c r="L26" s="88"/>
      <c r="M26" s="88"/>
      <c r="N26" s="88"/>
      <c r="O26" s="88"/>
      <c r="P26" s="88"/>
      <c r="Q26" s="88"/>
    </row>
    <row r="27" spans="1:17">
      <c r="B27" s="112" t="s">
        <v>340</v>
      </c>
      <c r="D27" s="112" t="s">
        <v>335</v>
      </c>
      <c r="E27" s="112" t="s">
        <v>369</v>
      </c>
      <c r="F27" s="112" t="s">
        <v>370</v>
      </c>
    </row>
    <row r="28" spans="1:17">
      <c r="D28" s="112" t="s">
        <v>335</v>
      </c>
      <c r="E28" s="112" t="s">
        <v>371</v>
      </c>
      <c r="F28" s="112" t="s">
        <v>372</v>
      </c>
    </row>
    <row r="29" spans="1:17">
      <c r="D29" s="112" t="s">
        <v>335</v>
      </c>
      <c r="E29" s="112" t="s">
        <v>373</v>
      </c>
      <c r="F29" s="112" t="s">
        <v>374</v>
      </c>
    </row>
    <row r="30" spans="1:17">
      <c r="D30" s="112" t="s">
        <v>352</v>
      </c>
      <c r="E30" s="112" t="s">
        <v>375</v>
      </c>
      <c r="F30" s="112" t="s">
        <v>376</v>
      </c>
    </row>
    <row r="31" spans="1:17">
      <c r="D31" s="112" t="s">
        <v>332</v>
      </c>
      <c r="E31" s="112" t="s">
        <v>377</v>
      </c>
      <c r="F31" s="112" t="s">
        <v>378</v>
      </c>
    </row>
    <row r="32" spans="1:17">
      <c r="D32" s="112" t="s">
        <v>289</v>
      </c>
      <c r="E32" s="112" t="s">
        <v>379</v>
      </c>
      <c r="F32" s="112" t="s">
        <v>380</v>
      </c>
    </row>
    <row r="33" spans="1:17">
      <c r="D33" s="112" t="s">
        <v>359</v>
      </c>
      <c r="E33" s="112" t="s">
        <v>381</v>
      </c>
      <c r="F33" s="112" t="s">
        <v>382</v>
      </c>
    </row>
    <row r="34" spans="1:17">
      <c r="D34" s="112" t="s">
        <v>40</v>
      </c>
      <c r="E34" s="112" t="s">
        <v>383</v>
      </c>
      <c r="F34" s="112" t="s">
        <v>384</v>
      </c>
    </row>
    <row r="35" spans="1:17" s="172" customFormat="1">
      <c r="D35" s="172" t="s">
        <v>40</v>
      </c>
      <c r="E35" s="172" t="s">
        <v>385</v>
      </c>
      <c r="F35" s="172" t="s">
        <v>386</v>
      </c>
      <c r="G35" s="180"/>
    </row>
    <row r="36" spans="1:17" s="154" customFormat="1" ht="16">
      <c r="B36" s="154" t="s">
        <v>362</v>
      </c>
      <c r="C36" s="164">
        <v>45491</v>
      </c>
      <c r="D36" s="154" t="s">
        <v>387</v>
      </c>
      <c r="E36" s="154" t="s">
        <v>388</v>
      </c>
      <c r="F36" s="154" t="s">
        <v>389</v>
      </c>
      <c r="G36" s="154" t="s">
        <v>390</v>
      </c>
    </row>
    <row r="37" spans="1:17" s="154" customFormat="1" ht="32">
      <c r="D37" s="154" t="s">
        <v>328</v>
      </c>
      <c r="E37" s="154" t="s">
        <v>391</v>
      </c>
      <c r="F37" s="154" t="s">
        <v>392</v>
      </c>
      <c r="G37" s="154" t="s">
        <v>393</v>
      </c>
    </row>
    <row r="38" spans="1:17" s="154" customFormat="1" ht="32">
      <c r="D38" s="154" t="s">
        <v>328</v>
      </c>
      <c r="E38" s="154" t="s">
        <v>394</v>
      </c>
      <c r="F38" s="154" t="s">
        <v>395</v>
      </c>
      <c r="G38" s="154" t="s">
        <v>396</v>
      </c>
    </row>
    <row r="39" spans="1:17" s="154" customFormat="1" ht="32">
      <c r="D39" s="154" t="s">
        <v>341</v>
      </c>
      <c r="E39" s="154" t="s">
        <v>363</v>
      </c>
      <c r="F39" s="154" t="s">
        <v>397</v>
      </c>
      <c r="G39" s="154" t="s">
        <v>398</v>
      </c>
    </row>
    <row r="40" spans="1:17" s="154" customFormat="1" ht="16">
      <c r="D40" s="154" t="s">
        <v>352</v>
      </c>
      <c r="E40" s="154" t="s">
        <v>399</v>
      </c>
      <c r="F40" s="154" t="s">
        <v>400</v>
      </c>
      <c r="G40" s="154" t="s">
        <v>401</v>
      </c>
    </row>
    <row r="41" spans="1:17" s="181" customFormat="1" ht="16">
      <c r="D41" s="181" t="s">
        <v>352</v>
      </c>
      <c r="E41" s="181" t="s">
        <v>402</v>
      </c>
      <c r="F41" s="181" t="s">
        <v>403</v>
      </c>
      <c r="G41" s="181" t="s">
        <v>404</v>
      </c>
    </row>
    <row r="42" spans="1:17" s="154" customFormat="1" ht="32">
      <c r="B42" s="154" t="s">
        <v>405</v>
      </c>
      <c r="C42" s="164">
        <v>45590</v>
      </c>
      <c r="D42" s="154" t="s">
        <v>328</v>
      </c>
      <c r="E42" s="154" t="s">
        <v>406</v>
      </c>
      <c r="F42" s="154" t="s">
        <v>407</v>
      </c>
      <c r="G42" s="154" t="s">
        <v>408</v>
      </c>
    </row>
    <row r="43" spans="1:17" s="154" customFormat="1" ht="32">
      <c r="D43" s="154" t="s">
        <v>135</v>
      </c>
      <c r="E43" s="154" t="s">
        <v>371</v>
      </c>
      <c r="F43" s="154" t="s">
        <v>409</v>
      </c>
      <c r="G43" s="154" t="s">
        <v>410</v>
      </c>
    </row>
    <row r="44" spans="1:17" s="154" customFormat="1" ht="32">
      <c r="D44" s="154" t="s">
        <v>352</v>
      </c>
      <c r="E44" s="154" t="s">
        <v>411</v>
      </c>
      <c r="F44" s="154" t="s">
        <v>412</v>
      </c>
      <c r="G44" s="154" t="s">
        <v>390</v>
      </c>
    </row>
    <row r="45" spans="1:17">
      <c r="A45" s="88"/>
      <c r="B45" s="88">
        <v>2026</v>
      </c>
      <c r="C45" s="88"/>
      <c r="D45" s="88"/>
      <c r="E45" s="88"/>
      <c r="F45" s="88"/>
      <c r="G45" s="88"/>
      <c r="H45" s="88"/>
      <c r="I45" s="88"/>
      <c r="J45" s="88"/>
      <c r="K45" s="88"/>
      <c r="L45" s="88"/>
      <c r="M45" s="88"/>
      <c r="N45" s="88"/>
      <c r="O45" s="88"/>
      <c r="P45" s="88"/>
      <c r="Q45" s="88"/>
    </row>
    <row r="46" spans="1:17">
      <c r="B46" s="112" t="s">
        <v>340</v>
      </c>
      <c r="C46" s="166">
        <v>46104</v>
      </c>
      <c r="D46" s="112" t="s">
        <v>40</v>
      </c>
      <c r="E46" s="112" t="s">
        <v>383</v>
      </c>
      <c r="F46" s="112" t="s">
        <v>384</v>
      </c>
    </row>
    <row r="47" spans="1:17">
      <c r="D47" s="112" t="s">
        <v>40</v>
      </c>
      <c r="E47" s="112" t="s">
        <v>385</v>
      </c>
      <c r="F47" s="112" t="s">
        <v>386</v>
      </c>
    </row>
    <row r="48" spans="1:17">
      <c r="D48" s="112" t="s">
        <v>359</v>
      </c>
      <c r="E48" s="112" t="s">
        <v>413</v>
      </c>
      <c r="F48" s="112" t="s">
        <v>414</v>
      </c>
    </row>
    <row r="49" spans="3:7" ht="16">
      <c r="D49" s="112" t="s">
        <v>40</v>
      </c>
      <c r="E49" s="112" t="s">
        <v>415</v>
      </c>
      <c r="F49" s="112" t="s">
        <v>416</v>
      </c>
      <c r="G49" s="154" t="s">
        <v>390</v>
      </c>
    </row>
    <row r="50" spans="3:7">
      <c r="D50" s="112" t="s">
        <v>289</v>
      </c>
      <c r="E50" s="112" t="s">
        <v>363</v>
      </c>
      <c r="F50" s="112" t="s">
        <v>443</v>
      </c>
    </row>
    <row r="51" spans="3:7">
      <c r="D51" s="112" t="s">
        <v>341</v>
      </c>
      <c r="E51" s="112" t="s">
        <v>417</v>
      </c>
      <c r="F51" s="112" t="s">
        <v>444</v>
      </c>
    </row>
    <row r="52" spans="3:7">
      <c r="D52" s="112" t="s">
        <v>290</v>
      </c>
      <c r="E52" s="112" t="s">
        <v>418</v>
      </c>
      <c r="F52" s="112" t="s">
        <v>445</v>
      </c>
    </row>
    <row r="53" spans="3:7" ht="16">
      <c r="D53" s="112" t="s">
        <v>290</v>
      </c>
      <c r="E53" s="112" t="s">
        <v>419</v>
      </c>
      <c r="F53" s="112" t="s">
        <v>420</v>
      </c>
      <c r="G53" s="154" t="s">
        <v>390</v>
      </c>
    </row>
    <row r="54" spans="3:7">
      <c r="D54" s="112" t="s">
        <v>352</v>
      </c>
      <c r="E54" s="112" t="s">
        <v>421</v>
      </c>
      <c r="F54" s="112" t="s">
        <v>422</v>
      </c>
    </row>
    <row r="55" spans="3:7" ht="16">
      <c r="D55" s="112" t="s">
        <v>328</v>
      </c>
      <c r="E55" s="112" t="s">
        <v>391</v>
      </c>
      <c r="F55" s="112" t="s">
        <v>416</v>
      </c>
      <c r="G55" s="154" t="s">
        <v>390</v>
      </c>
    </row>
    <row r="56" spans="3:7">
      <c r="D56" s="112" t="s">
        <v>423</v>
      </c>
      <c r="E56" s="112" t="s">
        <v>424</v>
      </c>
      <c r="F56" s="112" t="s">
        <v>446</v>
      </c>
    </row>
    <row r="57" spans="3:7" ht="16">
      <c r="D57" s="112" t="s">
        <v>425</v>
      </c>
      <c r="F57" s="112" t="s">
        <v>426</v>
      </c>
      <c r="G57" s="154" t="s">
        <v>390</v>
      </c>
    </row>
    <row r="58" spans="3:7">
      <c r="C58" s="166">
        <v>46139</v>
      </c>
      <c r="D58" s="112" t="s">
        <v>359</v>
      </c>
      <c r="E58" s="112" t="s">
        <v>427</v>
      </c>
      <c r="F58" s="112" t="s">
        <v>428</v>
      </c>
      <c r="G58" s="112" t="s">
        <v>429</v>
      </c>
    </row>
    <row r="59" spans="3:7">
      <c r="D59" s="112" t="s">
        <v>348</v>
      </c>
      <c r="F59" s="112" t="s">
        <v>416</v>
      </c>
    </row>
    <row r="60" spans="3:7">
      <c r="D60" s="112" t="s">
        <v>335</v>
      </c>
      <c r="F60" s="112" t="s">
        <v>442</v>
      </c>
    </row>
    <row r="61" spans="3:7">
      <c r="C61" s="166">
        <v>46247</v>
      </c>
      <c r="D61" s="112" t="s">
        <v>423</v>
      </c>
      <c r="E61" s="112" t="s">
        <v>439</v>
      </c>
      <c r="F61" s="112" t="s">
        <v>440</v>
      </c>
    </row>
    <row r="62" spans="3:7">
      <c r="D62" s="112" t="s">
        <v>425</v>
      </c>
      <c r="F62" s="112" t="s">
        <v>449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sheetPr>
  <dimension ref="A1:AI175"/>
  <sheetViews>
    <sheetView topLeftCell="A38" workbookViewId="0">
      <selection activeCell="C57" sqref="C57"/>
    </sheetView>
  </sheetViews>
  <sheetFormatPr baseColWidth="10" defaultColWidth="9.3984375" defaultRowHeight="15" outlineLevelRow="1"/>
  <cols>
    <col min="1" max="1" width="8" style="19" customWidth="1"/>
    <col min="2" max="2" width="33.3984375" style="19" customWidth="1"/>
    <col min="3" max="3" width="42.59765625" style="19" customWidth="1"/>
    <col min="4" max="4" width="1.59765625" style="19" customWidth="1"/>
    <col min="5" max="6" width="20.3984375" style="19" customWidth="1"/>
    <col min="7" max="7" width="17.3984375" style="19" customWidth="1"/>
    <col min="8" max="8" width="21.3984375" style="19" customWidth="1"/>
    <col min="9" max="10" width="15.3984375" style="19" customWidth="1"/>
    <col min="11" max="11" width="18" style="19" customWidth="1"/>
    <col min="12" max="12" width="15.59765625" style="19" customWidth="1"/>
    <col min="13" max="33" width="9.3984375" style="19"/>
    <col min="34" max="34" width="9.59765625" style="19" customWidth="1"/>
    <col min="35" max="16384" width="9.3984375" style="19"/>
  </cols>
  <sheetData>
    <row r="1" spans="1:35" ht="15" customHeight="1">
      <c r="A1" s="18"/>
      <c r="B1" s="18"/>
      <c r="C1" s="18"/>
      <c r="D1" s="18"/>
      <c r="E1" s="18"/>
      <c r="F1" s="18"/>
      <c r="G1" s="18"/>
    </row>
    <row r="2" spans="1:35" ht="15" customHeight="1">
      <c r="A2" s="234"/>
      <c r="B2" s="234" t="s">
        <v>15</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row>
    <row r="3" spans="1:35" ht="15" customHeight="1">
      <c r="A3" s="18"/>
      <c r="B3" s="18"/>
      <c r="C3" s="18"/>
      <c r="D3" s="18"/>
      <c r="E3" s="18"/>
      <c r="F3" s="18"/>
      <c r="G3" s="18"/>
    </row>
    <row r="4" spans="1:35" ht="15" customHeight="1">
      <c r="C4" s="29" t="s">
        <v>16</v>
      </c>
    </row>
    <row r="5" spans="1:35" ht="15" customHeight="1">
      <c r="B5" s="16" t="s">
        <v>17</v>
      </c>
      <c r="C5" s="35" t="s">
        <v>124</v>
      </c>
    </row>
    <row r="6" spans="1:35" ht="15" customHeight="1">
      <c r="B6" s="16" t="s">
        <v>19</v>
      </c>
      <c r="C6" s="35" t="s">
        <v>20</v>
      </c>
    </row>
    <row r="7" spans="1:35" ht="15" customHeight="1">
      <c r="B7" s="16" t="s">
        <v>21</v>
      </c>
      <c r="C7" s="35" t="s">
        <v>104</v>
      </c>
    </row>
    <row r="8" spans="1:35" ht="15" customHeight="1">
      <c r="B8" s="16" t="s">
        <v>23</v>
      </c>
      <c r="C8" s="35" t="s">
        <v>24</v>
      </c>
    </row>
    <row r="9" spans="1:35" ht="15" customHeight="1">
      <c r="B9" s="16"/>
    </row>
    <row r="10" spans="1:35" ht="15" customHeight="1">
      <c r="B10" s="16" t="s">
        <v>25</v>
      </c>
      <c r="C10" s="35" t="s">
        <v>166</v>
      </c>
    </row>
    <row r="11" spans="1:35" ht="15" customHeight="1">
      <c r="B11" s="16" t="s">
        <v>27</v>
      </c>
      <c r="C11" s="35" t="s">
        <v>28</v>
      </c>
      <c r="D11" s="37" t="s">
        <v>29</v>
      </c>
    </row>
    <row r="12" spans="1:35" ht="15" customHeight="1"/>
    <row r="13" spans="1:35" ht="15" customHeight="1">
      <c r="C13" s="36" t="s">
        <v>30</v>
      </c>
    </row>
    <row r="14" spans="1:35" ht="15" customHeight="1">
      <c r="B14" s="17" t="s">
        <v>31</v>
      </c>
      <c r="C14" s="52">
        <v>2026</v>
      </c>
      <c r="D14" s="37" t="str">
        <f>"(Must be "&amp;$E$46&amp;" or later)"</f>
        <v>(Must be 2026 or later)</v>
      </c>
    </row>
    <row r="15" spans="1:35" ht="15" customHeight="1">
      <c r="B15" s="17" t="s">
        <v>32</v>
      </c>
      <c r="C15" s="53">
        <v>20</v>
      </c>
      <c r="D15" s="37" t="s">
        <v>33</v>
      </c>
      <c r="I15" s="17"/>
      <c r="J15" s="38"/>
      <c r="K15" s="20"/>
    </row>
    <row r="16" spans="1:35" ht="15" customHeight="1">
      <c r="B16" s="17" t="s">
        <v>34</v>
      </c>
      <c r="C16" s="75">
        <f>C14+C15-1</f>
        <v>2045</v>
      </c>
      <c r="D16" s="62" t="str">
        <f>IF(C16&gt;AH46,_xlfn.CONCAT("Selected Levelization Period extends beyond the modelled years (",E46,"-",AH46,"). Please update the Start Year and/or Levelization Period"),"")</f>
        <v/>
      </c>
      <c r="I16" s="17"/>
      <c r="J16" s="38"/>
      <c r="K16" s="20"/>
    </row>
    <row r="17" spans="1:35" ht="15" customHeight="1">
      <c r="B17" s="17" t="s">
        <v>35</v>
      </c>
      <c r="C17" s="76">
        <f>INDEX('Other Inputs'!$C$20:$D$20,MATCH($C$10,'Other Inputs'!$C$18:$D$18,0))</f>
        <v>7.513333333333333E-2</v>
      </c>
      <c r="D17" s="20"/>
      <c r="I17" s="17"/>
      <c r="J17" s="38"/>
      <c r="K17" s="20"/>
    </row>
    <row r="18" spans="1:35" ht="15" customHeight="1">
      <c r="B18" s="17" t="s">
        <v>36</v>
      </c>
      <c r="C18" s="77">
        <f>-PMT(C17,C15,1,0,1)</f>
        <v>9.1329769209603298E-2</v>
      </c>
      <c r="I18" s="17"/>
      <c r="J18" s="38"/>
      <c r="K18" s="20"/>
    </row>
    <row r="19" spans="1:35" ht="15" customHeight="1">
      <c r="B19" s="17" t="s">
        <v>37</v>
      </c>
      <c r="C19" s="78">
        <f>'Other Inputs'!$C$11</f>
        <v>0.02</v>
      </c>
      <c r="D19" s="20"/>
      <c r="I19" s="17"/>
      <c r="J19" s="38"/>
      <c r="K19" s="20"/>
    </row>
    <row r="20" spans="1:35" ht="15" customHeight="1">
      <c r="I20" s="17"/>
      <c r="J20" s="38"/>
      <c r="K20" s="20"/>
    </row>
    <row r="21" spans="1:35" ht="15" customHeight="1">
      <c r="C21" s="36" t="s">
        <v>38</v>
      </c>
      <c r="I21" s="17"/>
      <c r="J21" s="38"/>
      <c r="K21" s="20"/>
    </row>
    <row r="22" spans="1:35" ht="15" customHeight="1">
      <c r="B22" s="17" t="s">
        <v>39</v>
      </c>
      <c r="C22" s="21" t="b">
        <v>1</v>
      </c>
      <c r="I22" s="17"/>
      <c r="J22" s="38"/>
      <c r="K22" s="20"/>
    </row>
    <row r="23" spans="1:35" ht="15" customHeight="1">
      <c r="B23" s="17" t="s">
        <v>40</v>
      </c>
      <c r="C23" s="21" t="b">
        <v>1</v>
      </c>
      <c r="I23" s="17"/>
      <c r="J23" s="38"/>
      <c r="K23" s="20"/>
    </row>
    <row r="24" spans="1:35" ht="15" customHeight="1">
      <c r="B24" s="17" t="s">
        <v>41</v>
      </c>
      <c r="C24" s="21" t="b">
        <v>1</v>
      </c>
      <c r="I24" s="17"/>
      <c r="J24" s="38"/>
      <c r="K24" s="20"/>
    </row>
    <row r="25" spans="1:35" ht="15" customHeight="1">
      <c r="B25" s="17" t="s">
        <v>42</v>
      </c>
      <c r="C25" s="21" t="b">
        <v>1</v>
      </c>
      <c r="F25" s="17"/>
      <c r="G25" s="22"/>
    </row>
    <row r="26" spans="1:35" ht="15" customHeight="1" outlineLevel="1">
      <c r="B26" s="17" t="s">
        <v>43</v>
      </c>
      <c r="C26" s="21" t="b">
        <v>1</v>
      </c>
    </row>
    <row r="27" spans="1:35" ht="15" customHeight="1" outlineLevel="1">
      <c r="B27" s="17" t="s">
        <v>44</v>
      </c>
      <c r="C27" s="21" t="b">
        <v>1</v>
      </c>
      <c r="D27" s="37" t="s">
        <v>447</v>
      </c>
    </row>
    <row r="28" spans="1:35" ht="15" customHeight="1" outlineLevel="1">
      <c r="B28" s="17" t="s">
        <v>45</v>
      </c>
      <c r="C28" s="74" t="b">
        <f>IF(AND(C10="SCT",C27),TRUE(),FALSE())</f>
        <v>0</v>
      </c>
      <c r="D28" s="37" t="s">
        <v>46</v>
      </c>
    </row>
    <row r="29" spans="1:35" ht="15" customHeight="1">
      <c r="I29" s="17"/>
      <c r="J29" s="38"/>
      <c r="K29" s="20"/>
    </row>
    <row r="30" spans="1:35" ht="15" customHeight="1">
      <c r="A30" s="234"/>
      <c r="B30" s="234" t="s">
        <v>47</v>
      </c>
      <c r="C30" s="234"/>
      <c r="D30" s="234"/>
      <c r="E30" s="234"/>
      <c r="F30" s="234"/>
      <c r="G30" s="234"/>
      <c r="H30" s="234"/>
      <c r="I30" s="234"/>
      <c r="J30" s="237"/>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row>
    <row r="31" spans="1:35" ht="15" customHeight="1" outlineLevel="1">
      <c r="A31" s="18"/>
      <c r="B31" s="18"/>
      <c r="C31" s="18"/>
      <c r="D31" s="18"/>
      <c r="E31" s="18"/>
      <c r="F31" s="18"/>
      <c r="G31" s="18"/>
      <c r="H31"/>
      <c r="I31"/>
      <c r="J31"/>
      <c r="K31"/>
      <c r="L31"/>
    </row>
    <row r="32" spans="1:35" s="24" customFormat="1" ht="15" customHeight="1" outlineLevel="1" thickBot="1">
      <c r="B32" s="25"/>
      <c r="C32" s="36" t="s">
        <v>48</v>
      </c>
      <c r="E32" s="234" t="s">
        <v>49</v>
      </c>
      <c r="F32" s="234" t="s">
        <v>50</v>
      </c>
      <c r="H32" s="246" t="s">
        <v>430</v>
      </c>
      <c r="I32" s="246"/>
      <c r="J32" s="246"/>
      <c r="K32" s="246"/>
      <c r="L32" s="246"/>
      <c r="M32" s="251"/>
      <c r="N32" s="251"/>
      <c r="O32" s="251"/>
      <c r="P32" s="251"/>
    </row>
    <row r="33" spans="2:34" ht="15" customHeight="1" outlineLevel="1">
      <c r="B33" s="17" t="s">
        <v>51</v>
      </c>
      <c r="C33" s="72">
        <f>INDEX(Emissions!$F$6:$F$12,MATCH(_xlfn.CONCAT($C$7,"-",$C$8),Emissions!$H$6:$H$12,0))</f>
        <v>9.1999999999999998E-3</v>
      </c>
      <c r="E33" s="71" t="s">
        <v>52</v>
      </c>
      <c r="F33" s="199">
        <f>INDEX('T&amp;D'!$C55:$K55,MATCH(_xlfn.CONCAT($C$5,"-",$C$6),'T&amp;D'!$C$68:$K$68,0))</f>
        <v>1.4471932222382073</v>
      </c>
      <c r="H33"/>
      <c r="I33"/>
      <c r="J33"/>
      <c r="K33"/>
      <c r="L33"/>
      <c r="M33" s="31"/>
      <c r="N33" s="31"/>
    </row>
    <row r="34" spans="2:34" ht="15" customHeight="1" outlineLevel="1">
      <c r="B34" s="17" t="s">
        <v>53</v>
      </c>
      <c r="C34" s="72">
        <f>INDEX(Emissions!$G$6:$G$12,MATCH(_xlfn.CONCAT($C$7,"-",$C$8),Emissions!$H$6:$H$12,0))</f>
        <v>5.3070370403969849E-3</v>
      </c>
      <c r="D34" s="26"/>
      <c r="E34" s="71" t="s">
        <v>54</v>
      </c>
      <c r="F34" s="199">
        <f>INDEX('T&amp;D'!$C56:$K56,MATCH(_xlfn.CONCAT($C$5,"-",$C$6),'T&amp;D'!$C$68:$K$68,0))</f>
        <v>1.4471932222382073</v>
      </c>
      <c r="H34"/>
      <c r="I34"/>
      <c r="J34"/>
      <c r="K34"/>
      <c r="L34"/>
    </row>
    <row r="35" spans="2:34" ht="15" customHeight="1" outlineLevel="1">
      <c r="B35" s="17" t="s">
        <v>55</v>
      </c>
      <c r="C35" s="73">
        <f>INDEX('Other Inputs'!$C5:$E5,MATCH($C$5,'Other Inputs'!$C$4:$E$4,0))</f>
        <v>0</v>
      </c>
      <c r="D35" s="26"/>
      <c r="E35" s="71" t="s">
        <v>56</v>
      </c>
      <c r="F35" s="199">
        <f>INDEX('T&amp;D'!$C57:$K57,MATCH(_xlfn.CONCAT($C$5,"-",$C$6),'T&amp;D'!$C$68:$K$68,0))</f>
        <v>1.4471932222382073</v>
      </c>
      <c r="H35"/>
      <c r="I35"/>
      <c r="J35"/>
      <c r="K35"/>
      <c r="L35"/>
    </row>
    <row r="36" spans="2:34" ht="15" customHeight="1" outlineLevel="1">
      <c r="B36" s="17" t="s">
        <v>57</v>
      </c>
      <c r="C36" s="73">
        <f>INDEX('Other Inputs'!$C6:$E6,MATCH($C$5,'Other Inputs'!$C$4:$E$4,0))</f>
        <v>2.41E-2</v>
      </c>
      <c r="D36" s="27"/>
      <c r="E36" s="71" t="s">
        <v>58</v>
      </c>
      <c r="F36" s="199">
        <f>INDEX('T&amp;D'!$C58:$K58,MATCH(_xlfn.CONCAT($C$5,"-",$C$6),'T&amp;D'!$C$68:$K$68,0))</f>
        <v>0</v>
      </c>
      <c r="H36"/>
      <c r="I36"/>
      <c r="J36"/>
      <c r="K36"/>
      <c r="L36"/>
    </row>
    <row r="37" spans="2:34" ht="15" customHeight="1" outlineLevel="1">
      <c r="D37" s="27"/>
      <c r="E37" s="71" t="s">
        <v>59</v>
      </c>
      <c r="F37" s="199">
        <f>INDEX('T&amp;D'!$C59:$K59,MATCH(_xlfn.CONCAT($C$5,"-",$C$6),'T&amp;D'!$C$68:$K$68,0))</f>
        <v>0</v>
      </c>
      <c r="H37"/>
      <c r="I37"/>
      <c r="J37"/>
      <c r="K37"/>
      <c r="L37"/>
    </row>
    <row r="38" spans="2:34" ht="15" customHeight="1" outlineLevel="1">
      <c r="B38" s="17"/>
      <c r="E38" s="71" t="s">
        <v>60</v>
      </c>
      <c r="F38" s="199">
        <f>INDEX('T&amp;D'!$C60:$K60,MATCH(_xlfn.CONCAT($C$5,"-",$C$6),'T&amp;D'!$C$68:$K$68,0))</f>
        <v>0</v>
      </c>
      <c r="H38"/>
      <c r="I38"/>
      <c r="J38"/>
      <c r="K38"/>
      <c r="L38"/>
    </row>
    <row r="39" spans="2:34" ht="15" customHeight="1" outlineLevel="1">
      <c r="E39" s="71" t="s">
        <v>61</v>
      </c>
      <c r="F39" s="199">
        <f>INDEX('T&amp;D'!$C61:$K61,MATCH(_xlfn.CONCAT($C$5,"-",$C$6),'T&amp;D'!$C$68:$K$68,0))</f>
        <v>0</v>
      </c>
      <c r="H39"/>
      <c r="I39"/>
      <c r="J39"/>
      <c r="K39"/>
      <c r="L39"/>
    </row>
    <row r="40" spans="2:34" ht="15" customHeight="1" outlineLevel="1">
      <c r="E40" s="71" t="s">
        <v>62</v>
      </c>
      <c r="F40" s="199">
        <f>INDEX('T&amp;D'!$C62:$K62,MATCH(_xlfn.CONCAT($C$5,"-",$C$6),'T&amp;D'!$C$68:$K$68,0))</f>
        <v>0</v>
      </c>
      <c r="H40"/>
      <c r="I40"/>
      <c r="J40"/>
      <c r="K40"/>
      <c r="L40"/>
    </row>
    <row r="41" spans="2:34" ht="15" customHeight="1" outlineLevel="1">
      <c r="E41" s="71" t="s">
        <v>63</v>
      </c>
      <c r="F41" s="199">
        <f>INDEX('T&amp;D'!$C63:$K63,MATCH(_xlfn.CONCAT($C$5,"-",$C$6),'T&amp;D'!$C$68:$K$68,0))</f>
        <v>0</v>
      </c>
      <c r="H41"/>
      <c r="I41"/>
      <c r="J41"/>
      <c r="K41"/>
      <c r="L41"/>
    </row>
    <row r="42" spans="2:34" ht="15" customHeight="1" outlineLevel="1">
      <c r="E42" s="71" t="s">
        <v>64</v>
      </c>
      <c r="F42" s="199">
        <f>INDEX('T&amp;D'!$C64:$K64,MATCH(_xlfn.CONCAT($C$5,"-",$C$6),'T&amp;D'!$C$68:$K$68,0))</f>
        <v>0</v>
      </c>
      <c r="H42"/>
      <c r="I42"/>
      <c r="J42"/>
      <c r="K42"/>
      <c r="L42"/>
    </row>
    <row r="43" spans="2:34" ht="15" customHeight="1" outlineLevel="1">
      <c r="E43" s="71" t="s">
        <v>65</v>
      </c>
      <c r="F43" s="199">
        <f>INDEX('T&amp;D'!$C65:$K65,MATCH(_xlfn.CONCAT($C$5,"-",$C$6),'T&amp;D'!$C$68:$K$68,0))</f>
        <v>1.4471932222382073</v>
      </c>
      <c r="H43"/>
      <c r="I43"/>
      <c r="J43"/>
      <c r="K43"/>
      <c r="L43"/>
    </row>
    <row r="44" spans="2:34" ht="15" customHeight="1" outlineLevel="1">
      <c r="B44" s="32"/>
      <c r="E44" s="71" t="s">
        <v>66</v>
      </c>
      <c r="F44" s="199">
        <f>INDEX('T&amp;D'!$C66:$K66,MATCH(_xlfn.CONCAT($C$5,"-",$C$6),'T&amp;D'!$C$68:$K$68,0))</f>
        <v>1.4471932222382073</v>
      </c>
      <c r="H44"/>
      <c r="I44"/>
      <c r="J44"/>
      <c r="K44"/>
      <c r="L44"/>
    </row>
    <row r="45" spans="2:34" ht="15" customHeight="1" outlineLevel="1"/>
    <row r="46" spans="2:34" ht="15" customHeight="1" outlineLevel="1">
      <c r="C46" s="234" t="s">
        <v>67</v>
      </c>
      <c r="D46" s="234"/>
      <c r="E46" s="234">
        <v>2026</v>
      </c>
      <c r="F46" s="234">
        <f t="shared" ref="F46:AH46" si="0">E46+1</f>
        <v>2027</v>
      </c>
      <c r="G46" s="234">
        <f t="shared" si="0"/>
        <v>2028</v>
      </c>
      <c r="H46" s="234">
        <f t="shared" si="0"/>
        <v>2029</v>
      </c>
      <c r="I46" s="234">
        <f>H46+1</f>
        <v>2030</v>
      </c>
      <c r="J46" s="234">
        <f t="shared" si="0"/>
        <v>2031</v>
      </c>
      <c r="K46" s="234">
        <f t="shared" si="0"/>
        <v>2032</v>
      </c>
      <c r="L46" s="234">
        <f>K46+1</f>
        <v>2033</v>
      </c>
      <c r="M46" s="234">
        <f t="shared" si="0"/>
        <v>2034</v>
      </c>
      <c r="N46" s="234">
        <f t="shared" si="0"/>
        <v>2035</v>
      </c>
      <c r="O46" s="234">
        <f t="shared" si="0"/>
        <v>2036</v>
      </c>
      <c r="P46" s="234">
        <f t="shared" si="0"/>
        <v>2037</v>
      </c>
      <c r="Q46" s="234">
        <f t="shared" si="0"/>
        <v>2038</v>
      </c>
      <c r="R46" s="234">
        <f t="shared" si="0"/>
        <v>2039</v>
      </c>
      <c r="S46" s="234">
        <f t="shared" si="0"/>
        <v>2040</v>
      </c>
      <c r="T46" s="234">
        <f t="shared" si="0"/>
        <v>2041</v>
      </c>
      <c r="U46" s="234">
        <f t="shared" si="0"/>
        <v>2042</v>
      </c>
      <c r="V46" s="234">
        <f t="shared" si="0"/>
        <v>2043</v>
      </c>
      <c r="W46" s="234">
        <f t="shared" si="0"/>
        <v>2044</v>
      </c>
      <c r="X46" s="234">
        <f t="shared" si="0"/>
        <v>2045</v>
      </c>
      <c r="Y46" s="234">
        <f t="shared" si="0"/>
        <v>2046</v>
      </c>
      <c r="Z46" s="234">
        <f t="shared" si="0"/>
        <v>2047</v>
      </c>
      <c r="AA46" s="234">
        <f t="shared" si="0"/>
        <v>2048</v>
      </c>
      <c r="AB46" s="234">
        <f t="shared" si="0"/>
        <v>2049</v>
      </c>
      <c r="AC46" s="234">
        <f t="shared" si="0"/>
        <v>2050</v>
      </c>
      <c r="AD46" s="234">
        <f t="shared" si="0"/>
        <v>2051</v>
      </c>
      <c r="AE46" s="234">
        <f t="shared" si="0"/>
        <v>2052</v>
      </c>
      <c r="AF46" s="234">
        <f t="shared" si="0"/>
        <v>2053</v>
      </c>
      <c r="AG46" s="234">
        <f t="shared" si="0"/>
        <v>2054</v>
      </c>
      <c r="AH46" s="234">
        <f t="shared" si="0"/>
        <v>2055</v>
      </c>
    </row>
    <row r="47" spans="2:34" ht="15" customHeight="1" outlineLevel="1">
      <c r="C47" s="49" t="s">
        <v>441</v>
      </c>
      <c r="D47" s="17"/>
      <c r="E47" s="70" cm="1">
        <f t="array" ref="E47">INDEX(Commodity!$C$48:$AF$48,,MATCH(E46,Commodity!$C$35:$AF$35,0))</f>
        <v>0.57577397035741196</v>
      </c>
      <c r="F47" s="70" cm="1">
        <f t="array" ref="F47">INDEX(Commodity!$C$48:$AF$48,,MATCH(F46,Commodity!$C$35:$AF$35,0))</f>
        <v>0.5875762726546494</v>
      </c>
      <c r="G47" s="70" cm="1">
        <f t="array" ref="G47">INDEX(Commodity!$C$48:$AF$48,,MATCH(G46,Commodity!$C$35:$AF$35,0))</f>
        <v>0.59950341718858635</v>
      </c>
      <c r="H47" s="70" cm="1">
        <f t="array" ref="H47">INDEX(Commodity!$C$48:$AF$48,,MATCH(H46,Commodity!$C$35:$AF$35,0))</f>
        <v>0.61169805772507369</v>
      </c>
      <c r="I47" s="70" cm="1">
        <f t="array" ref="I47">INDEX(Commodity!$C$48:$AF$48,,MATCH(I46,Commodity!$C$35:$AF$35,0))</f>
        <v>0.62410943710292088</v>
      </c>
      <c r="J47" s="70" cm="1">
        <f t="array" ref="J47">INDEX(Commodity!$C$48:$AF$48,,MATCH(J46,Commodity!$C$35:$AF$35,0))</f>
        <v>0.63673962123381855</v>
      </c>
      <c r="K47" s="70" cm="1">
        <f t="array" ref="K47">INDEX(Commodity!$C$48:$AF$48,,MATCH(K46,Commodity!$C$35:$AF$35,0))</f>
        <v>0.64983956477362037</v>
      </c>
      <c r="L47" s="70" cm="1">
        <f t="array" ref="L47">INDEX(Commodity!$C$48:$AF$48,,MATCH(L46,Commodity!$C$35:$AF$35,0))</f>
        <v>0.66330226027566874</v>
      </c>
      <c r="M47" s="70" cm="1">
        <f t="array" ref="M47">INDEX(Commodity!$C$48:$AF$48,,MATCH(M46,Commodity!$C$35:$AF$35,0))</f>
        <v>0.67725850465173787</v>
      </c>
      <c r="N47" s="70" cm="1">
        <f t="array" ref="N47">INDEX(Commodity!$C$48:$AF$48,,MATCH(N46,Commodity!$C$35:$AF$35,0))</f>
        <v>0.69144733403876912</v>
      </c>
      <c r="O47" s="70" cm="1">
        <f t="array" ref="O47">INDEX(Commodity!$C$48:$AF$48,,MATCH(O46,Commodity!$C$35:$AF$35,0))</f>
        <v>0.70584011402671898</v>
      </c>
      <c r="P47" s="70" cm="1">
        <f t="array" ref="P47">INDEX(Commodity!$C$48:$AF$48,,MATCH(P46,Commodity!$C$35:$AF$35,0))</f>
        <v>0.72085340122779273</v>
      </c>
      <c r="Q47" s="70" cm="1">
        <f t="array" ref="Q47">INDEX(Commodity!$C$48:$AF$48,,MATCH(Q46,Commodity!$C$35:$AF$35,0))</f>
        <v>0.73650154304837645</v>
      </c>
      <c r="R47" s="70" cm="1">
        <f t="array" ref="R47">INDEX(Commodity!$C$48:$AF$48,,MATCH(R46,Commodity!$C$35:$AF$35,0))</f>
        <v>0.75266576576655175</v>
      </c>
      <c r="S47" s="70" cm="1">
        <f t="array" ref="S47">INDEX(Commodity!$C$48:$AF$48,,MATCH(S46,Commodity!$C$35:$AF$35,0))</f>
        <v>0.76921053791318827</v>
      </c>
      <c r="T47" s="70" cm="1">
        <f t="array" ref="T47">INDEX(Commodity!$C$48:$AF$48,,MATCH(T46,Commodity!$C$35:$AF$35,0))</f>
        <v>0.78607523065524865</v>
      </c>
      <c r="U47" s="70" cm="1">
        <f t="array" ref="U47">INDEX(Commodity!$C$48:$AF$48,,MATCH(U46,Commodity!$C$35:$AF$35,0))</f>
        <v>0.80327312408870244</v>
      </c>
      <c r="V47" s="70" cm="1">
        <f t="array" ref="V47">INDEX(Commodity!$C$48:$AF$48,,MATCH(V46,Commodity!$C$35:$AF$35,0))</f>
        <v>0.82090050401156811</v>
      </c>
      <c r="W47" s="70" cm="1">
        <f t="array" ref="W47">INDEX(Commodity!$C$48:$AF$48,,MATCH(W46,Commodity!$C$35:$AF$35,0))</f>
        <v>0.83895656741513525</v>
      </c>
      <c r="X47" s="70" cm="1">
        <f t="array" ref="X47">INDEX(Commodity!$C$48:$AF$48,,MATCH(X46,Commodity!$C$35:$AF$35,0))</f>
        <v>0.85739567951133644</v>
      </c>
      <c r="Y47" s="70" cm="1">
        <f t="array" ref="Y47">INDEX(Commodity!$C$48:$AF$48,,MATCH(Y46,Commodity!$C$35:$AF$35,0))</f>
        <v>0.87628350025503188</v>
      </c>
      <c r="Z47" s="70" cm="1">
        <f t="array" ref="Z47">INDEX(Commodity!$C$48:$AF$48,,MATCH(Z46,Commodity!$C$35:$AF$35,0))</f>
        <v>0.89565160919471554</v>
      </c>
      <c r="AA47" s="70" cm="1">
        <f t="array" ref="AA47">INDEX(Commodity!$C$48:$AF$48,,MATCH(AA46,Commodity!$C$35:$AF$35,0))</f>
        <v>0.9155198501855254</v>
      </c>
      <c r="AB47" s="70" cm="1">
        <f t="array" ref="AB47">INDEX(Commodity!$C$48:$AF$48,,MATCH(AB46,Commodity!$C$35:$AF$35,0))</f>
        <v>0.9358213652454267</v>
      </c>
      <c r="AC47" s="70" cm="1">
        <f t="array" ref="AC47">INDEX(Commodity!$C$48:$AF$48,,MATCH(AC46,Commodity!$C$35:$AF$35,0))</f>
        <v>0.95652409190065013</v>
      </c>
      <c r="AD47" s="70" cm="1">
        <f t="array" ref="AD47">INDEX(Commodity!$C$48:$AF$48,,MATCH(AD46,Commodity!$C$35:$AF$35,0))</f>
        <v>0.97563510162574529</v>
      </c>
      <c r="AE47" s="70" cm="1">
        <f t="array" ref="AE47">INDEX(Commodity!$C$48:$AF$48,,MATCH(AE46,Commodity!$C$35:$AF$35,0))</f>
        <v>0.99588742210767556</v>
      </c>
      <c r="AF47" s="70" cm="1">
        <f t="array" ref="AF47">INDEX(Commodity!$C$48:$AF$48,,MATCH(AF46,Commodity!$C$35:$AF$35,0))</f>
        <v>1.0161215651285602</v>
      </c>
      <c r="AG47" s="70" cm="1">
        <f t="array" ref="AG47">INDEX(Commodity!$C$48:$AF$48,,MATCH(AG46,Commodity!$C$35:$AF$35,0))</f>
        <v>1.0362952261610969</v>
      </c>
      <c r="AH47" s="70" cm="1">
        <f t="array" ref="AH47">INDEX(Commodity!$C$48:$AF$48,,MATCH(AH46,Commodity!$C$35:$AF$35,0))</f>
        <v>1.056352861095031</v>
      </c>
    </row>
    <row r="48" spans="2:34" ht="15" customHeight="1" outlineLevel="1">
      <c r="C48" s="49" t="s">
        <v>68</v>
      </c>
      <c r="D48" s="17"/>
      <c r="E48" s="70">
        <f>INDEX('T&amp;D'!$D$5:$AI$13,MATCH(_xlfn.CONCAT($C$5,"-",$C$6),'T&amp;D'!$AK$5:$AK$13,0),MATCH(E$46,'T&amp;D'!$D$4:$AI$4,0))</f>
        <v>0.56974563576309967</v>
      </c>
      <c r="F48" s="70">
        <f>INDEX('T&amp;D'!$D$5:$AI$13,MATCH(_xlfn.CONCAT($C$5,"-",$C$6),'T&amp;D'!$AK$5:$AK$13,0),MATCH(F$46,'T&amp;D'!$D$4:$AI$4,0))</f>
        <v>0.56670335993454934</v>
      </c>
      <c r="G48" s="70">
        <f>INDEX('T&amp;D'!$D$5:$AI$13,MATCH(_xlfn.CONCAT($C$5,"-",$C$6),'T&amp;D'!$AK$5:$AK$13,0),MATCH(G$46,'T&amp;D'!$D$4:$AI$4,0))</f>
        <v>0.57803742713324024</v>
      </c>
      <c r="H48" s="70">
        <f>INDEX('T&amp;D'!$D$5:$AI$13,MATCH(_xlfn.CONCAT($C$5,"-",$C$6),'T&amp;D'!$AK$5:$AK$13,0),MATCH(H$46,'T&amp;D'!$D$4:$AI$4,0))</f>
        <v>0.58959817567590511</v>
      </c>
      <c r="I48" s="70">
        <f>INDEX('T&amp;D'!$D$5:$AI$13,MATCH(_xlfn.CONCAT($C$5,"-",$C$6),'T&amp;D'!$AK$5:$AK$13,0),MATCH(I$46,'T&amp;D'!$D$4:$AI$4,0))</f>
        <v>0.60139013918942319</v>
      </c>
      <c r="J48" s="70">
        <f>INDEX('T&amp;D'!$D$5:$AI$13,MATCH(_xlfn.CONCAT($C$5,"-",$C$6),'T&amp;D'!$AK$5:$AK$13,0),MATCH(J$46,'T&amp;D'!$D$4:$AI$4,0))</f>
        <v>0.61341794197321164</v>
      </c>
      <c r="K48" s="70">
        <f>INDEX('T&amp;D'!$D$5:$AI$13,MATCH(_xlfn.CONCAT($C$5,"-",$C$6),'T&amp;D'!$AK$5:$AK$13,0),MATCH(K$46,'T&amp;D'!$D$4:$AI$4,0))</f>
        <v>0.62568630081267596</v>
      </c>
      <c r="L48" s="70">
        <f>INDEX('T&amp;D'!$D$5:$AI$13,MATCH(_xlfn.CONCAT($C$5,"-",$C$6),'T&amp;D'!$AK$5:$AK$13,0),MATCH(L$46,'T&amp;D'!$D$4:$AI$4,0))</f>
        <v>0.63820002682892929</v>
      </c>
      <c r="M48" s="70">
        <f>INDEX('T&amp;D'!$D$5:$AI$13,MATCH(_xlfn.CONCAT($C$5,"-",$C$6),'T&amp;D'!$AK$5:$AK$13,0),MATCH(M$46,'T&amp;D'!$D$4:$AI$4,0))</f>
        <v>0.65096402736550796</v>
      </c>
      <c r="N48" s="70">
        <f>INDEX('T&amp;D'!$D$5:$AI$13,MATCH(_xlfn.CONCAT($C$5,"-",$C$6),'T&amp;D'!$AK$5:$AK$13,0),MATCH(N$46,'T&amp;D'!$D$4:$AI$4,0))</f>
        <v>0.66398330791281812</v>
      </c>
      <c r="O48" s="70">
        <f>INDEX('T&amp;D'!$D$5:$AI$13,MATCH(_xlfn.CONCAT($C$5,"-",$C$6),'T&amp;D'!$AK$5:$AK$13,0),MATCH(O$46,'T&amp;D'!$D$4:$AI$4,0))</f>
        <v>0.6772629740710745</v>
      </c>
      <c r="P48" s="70">
        <f>INDEX('T&amp;D'!$D$5:$AI$13,MATCH(_xlfn.CONCAT($C$5,"-",$C$6),'T&amp;D'!$AK$5:$AK$13,0),MATCH(P$46,'T&amp;D'!$D$4:$AI$4,0))</f>
        <v>0.69080823355249588</v>
      </c>
      <c r="Q48" s="70">
        <f>INDEX('T&amp;D'!$D$5:$AI$13,MATCH(_xlfn.CONCAT($C$5,"-",$C$6),'T&amp;D'!$AK$5:$AK$13,0),MATCH(Q$46,'T&amp;D'!$D$4:$AI$4,0))</f>
        <v>0.70462439822354594</v>
      </c>
      <c r="R48" s="70">
        <f>INDEX('T&amp;D'!$D$5:$AI$13,MATCH(_xlfn.CONCAT($C$5,"-",$C$6),'T&amp;D'!$AK$5:$AK$13,0),MATCH(R$46,'T&amp;D'!$D$4:$AI$4,0))</f>
        <v>0.71871688618801677</v>
      </c>
      <c r="S48" s="70">
        <f>INDEX('T&amp;D'!$D$5:$AI$13,MATCH(_xlfn.CONCAT($C$5,"-",$C$6),'T&amp;D'!$AK$5:$AK$13,0),MATCH(S$46,'T&amp;D'!$D$4:$AI$4,0))</f>
        <v>0.73309122391177717</v>
      </c>
      <c r="T48" s="70">
        <f>INDEX('T&amp;D'!$D$5:$AI$13,MATCH(_xlfn.CONCAT($C$5,"-",$C$6),'T&amp;D'!$AK$5:$AK$13,0),MATCH(T$46,'T&amp;D'!$D$4:$AI$4,0))</f>
        <v>0.74775304839001255</v>
      </c>
      <c r="U48" s="70">
        <f>INDEX('T&amp;D'!$D$5:$AI$13,MATCH(_xlfn.CONCAT($C$5,"-",$C$6),'T&amp;D'!$AK$5:$AK$13,0),MATCH(U$46,'T&amp;D'!$D$4:$AI$4,0))</f>
        <v>0.76270810935781297</v>
      </c>
      <c r="V48" s="70">
        <f>INDEX('T&amp;D'!$D$5:$AI$13,MATCH(_xlfn.CONCAT($C$5,"-",$C$6),'T&amp;D'!$AK$5:$AK$13,0),MATCH(V$46,'T&amp;D'!$D$4:$AI$4,0))</f>
        <v>0.77796227154496922</v>
      </c>
      <c r="W48" s="70">
        <f>INDEX('T&amp;D'!$D$5:$AI$13,MATCH(_xlfn.CONCAT($C$5,"-",$C$6),'T&amp;D'!$AK$5:$AK$13,0),MATCH(W$46,'T&amp;D'!$D$4:$AI$4,0))</f>
        <v>0.79352151697586859</v>
      </c>
      <c r="X48" s="70">
        <f>INDEX('T&amp;D'!$D$5:$AI$13,MATCH(_xlfn.CONCAT($C$5,"-",$C$6),'T&amp;D'!$AK$5:$AK$13,0),MATCH(X$46,'T&amp;D'!$D$4:$AI$4,0))</f>
        <v>0.80939194731538588</v>
      </c>
      <c r="Y48" s="70">
        <f>INDEX('T&amp;D'!$D$5:$AI$13,MATCH(_xlfn.CONCAT($C$5,"-",$C$6),'T&amp;D'!$AK$5:$AK$13,0),MATCH(Y$46,'T&amp;D'!$D$4:$AI$4,0))</f>
        <v>0.8255797862616937</v>
      </c>
      <c r="Z48" s="70">
        <f>INDEX('T&amp;D'!$D$5:$AI$13,MATCH(_xlfn.CONCAT($C$5,"-",$C$6),'T&amp;D'!$AK$5:$AK$13,0),MATCH(Z$46,'T&amp;D'!$D$4:$AI$4,0))</f>
        <v>0.84209138198692746</v>
      </c>
      <c r="AA48" s="70">
        <f>INDEX('T&amp;D'!$D$5:$AI$13,MATCH(_xlfn.CONCAT($C$5,"-",$C$6),'T&amp;D'!$AK$5:$AK$13,0),MATCH(AA$46,'T&amp;D'!$D$4:$AI$4,0))</f>
        <v>0.85893320962666608</v>
      </c>
      <c r="AB48" s="70">
        <f>INDEX('T&amp;D'!$D$5:$AI$13,MATCH(_xlfn.CONCAT($C$5,"-",$C$6),'T&amp;D'!$AK$5:$AK$13,0),MATCH(AB$46,'T&amp;D'!$D$4:$AI$4,0))</f>
        <v>0.8761118738191993</v>
      </c>
      <c r="AC48" s="70">
        <f>INDEX('T&amp;D'!$D$5:$AI$13,MATCH(_xlfn.CONCAT($C$5,"-",$C$6),'T&amp;D'!$AK$5:$AK$13,0),MATCH(AC$46,'T&amp;D'!$D$4:$AI$4,0))</f>
        <v>0.89363411129558323</v>
      </c>
      <c r="AD48" s="70">
        <f>INDEX('T&amp;D'!$D$5:$AI$13,MATCH(_xlfn.CONCAT($C$5,"-",$C$6),'T&amp;D'!$AK$5:$AK$13,0),MATCH(AD$46,'T&amp;D'!$D$4:$AI$4,0))</f>
        <v>0.911506793521495</v>
      </c>
      <c r="AE48" s="70">
        <f>INDEX('T&amp;D'!$D$5:$AI$13,MATCH(_xlfn.CONCAT($C$5,"-",$C$6),'T&amp;D'!$AK$5:$AK$13,0),MATCH(AE$46,'T&amp;D'!$D$4:$AI$4,0))</f>
        <v>0.92973692939192498</v>
      </c>
      <c r="AF48" s="70">
        <f>INDEX('T&amp;D'!$D$5:$AI$13,MATCH(_xlfn.CONCAT($C$5,"-",$C$6),'T&amp;D'!$AK$5:$AK$13,0),MATCH(AF$46,'T&amp;D'!$D$4:$AI$4,0))</f>
        <v>0.94833166797976332</v>
      </c>
      <c r="AG48" s="70">
        <f>INDEX('T&amp;D'!$D$5:$AI$13,MATCH(_xlfn.CONCAT($C$5,"-",$C$6),'T&amp;D'!$AK$5:$AK$13,0),MATCH(AG$46,'T&amp;D'!$D$4:$AI$4,0))</f>
        <v>0.96729830133935879</v>
      </c>
      <c r="AH48" s="70">
        <f>INDEX('T&amp;D'!$D$5:$AI$13,MATCH(_xlfn.CONCAT($C$5,"-",$C$6),'T&amp;D'!$AK$5:$AK$13,0),MATCH(AH$46,'T&amp;D'!$D$4:$AI$4,0))</f>
        <v>0.98664426736614574</v>
      </c>
    </row>
    <row r="49" spans="1:35" ht="15" customHeight="1" outlineLevel="1">
      <c r="C49" s="49" t="s">
        <v>69</v>
      </c>
      <c r="D49" s="17"/>
      <c r="E49" s="70">
        <f>INDEX(Emissions!$I32:$AM32,MATCH(E$46,Emissions!$I$16:$AM$16,0))</f>
        <v>0.18784820536087118</v>
      </c>
      <c r="F49" s="70">
        <f>INDEX(Emissions!$I32:$AM32,MATCH(F$46,Emissions!$I$16:$AM$16,0))</f>
        <v>0.19994146433024471</v>
      </c>
      <c r="G49" s="70">
        <f>INDEX(Emissions!$I32:$AM32,MATCH(G$46,Emissions!$I$16:$AM$16,0))</f>
        <v>0.21203472329961823</v>
      </c>
      <c r="H49" s="70">
        <f>INDEX(Emissions!$I32:$AM32,MATCH(H$46,Emissions!$I$16:$AM$16,0))</f>
        <v>0.22412798226899175</v>
      </c>
      <c r="I49" s="70">
        <f>INDEX(Emissions!$I32:$AM32,MATCH(I$46,Emissions!$I$16:$AM$16,0))</f>
        <v>0.2362212412383653</v>
      </c>
      <c r="J49" s="70">
        <f>INDEX(Emissions!$I32:$AM32,MATCH(J$46,Emissions!$I$16:$AM$16,0))</f>
        <v>0.24831450020773882</v>
      </c>
      <c r="K49" s="70">
        <f>INDEX(Emissions!$I32:$AM32,MATCH(K$46,Emissions!$I$16:$AM$16,0))</f>
        <v>0.26040775917710818</v>
      </c>
      <c r="L49" s="70">
        <f>INDEX(Emissions!$I32:$AM32,MATCH(L$46,Emissions!$I$16:$AM$16,0))</f>
        <v>0.2725010181464817</v>
      </c>
      <c r="M49" s="70">
        <f>INDEX(Emissions!$I32:$AM32,MATCH(M$46,Emissions!$I$16:$AM$16,0))</f>
        <v>0.28459427711585522</v>
      </c>
      <c r="N49" s="70">
        <f>INDEX(Emissions!$I32:$AM32,MATCH(N$46,Emissions!$I$16:$AM$16,0))</f>
        <v>0.29668753608522874</v>
      </c>
      <c r="O49" s="70">
        <f>INDEX(Emissions!$I32:$AM32,MATCH(O$46,Emissions!$I$16:$AM$16,0))</f>
        <v>0.30878079505460226</v>
      </c>
      <c r="P49" s="70">
        <f>INDEX(Emissions!$I32:$AM32,MATCH(P$46,Emissions!$I$16:$AM$16,0))</f>
        <v>0.32087405402397579</v>
      </c>
      <c r="Q49" s="70">
        <f>INDEX(Emissions!$I32:$AM32,MATCH(Q$46,Emissions!$I$16:$AM$16,0))</f>
        <v>0.33296731299334931</v>
      </c>
      <c r="R49" s="70">
        <f>INDEX(Emissions!$I32:$AM32,MATCH(R$46,Emissions!$I$16:$AM$16,0))</f>
        <v>0.34506057196271867</v>
      </c>
      <c r="S49" s="70">
        <f>INDEX(Emissions!$I32:$AM32,MATCH(S$46,Emissions!$I$16:$AM$16,0))</f>
        <v>0.35715383093209219</v>
      </c>
      <c r="T49" s="70">
        <f>INDEX(Emissions!$I32:$AM32,MATCH(T$46,Emissions!$I$16:$AM$16,0))</f>
        <v>0.36924708990146571</v>
      </c>
      <c r="U49" s="70">
        <f>INDEX(Emissions!$I32:$AM32,MATCH(U$46,Emissions!$I$16:$AM$16,0))</f>
        <v>0.38134034887083923</v>
      </c>
      <c r="V49" s="70">
        <f>INDEX(Emissions!$I32:$AM32,MATCH(V$46,Emissions!$I$16:$AM$16,0))</f>
        <v>0.39343360784021281</v>
      </c>
      <c r="W49" s="70">
        <f>INDEX(Emissions!$I32:$AM32,MATCH(W$46,Emissions!$I$16:$AM$16,0))</f>
        <v>0.40552686680958633</v>
      </c>
      <c r="X49" s="70">
        <f>INDEX(Emissions!$I32:$AM32,MATCH(X$46,Emissions!$I$16:$AM$16,0))</f>
        <v>0.41762012577895563</v>
      </c>
      <c r="Y49" s="70">
        <f>INDEX(Emissions!$I32:$AM32,MATCH(Y$46,Emissions!$I$16:$AM$16,0))</f>
        <v>0.42971338474832921</v>
      </c>
      <c r="Z49" s="70">
        <f>INDEX(Emissions!$I32:$AM32,MATCH(Z$46,Emissions!$I$16:$AM$16,0))</f>
        <v>0.44180664371770273</v>
      </c>
      <c r="AA49" s="70">
        <f>INDEX(Emissions!$I32:$AM32,MATCH(AA$46,Emissions!$I$16:$AM$16,0))</f>
        <v>0.45389990268707625</v>
      </c>
      <c r="AB49" s="70">
        <f>INDEX(Emissions!$I32:$AM32,MATCH(AB$46,Emissions!$I$16:$AM$16,0))</f>
        <v>0.46599316165644977</v>
      </c>
      <c r="AC49" s="70">
        <f>INDEX(Emissions!$I32:$AM32,MATCH(AC$46,Emissions!$I$16:$AM$16,0))</f>
        <v>0.47808642062582329</v>
      </c>
      <c r="AD49" s="70">
        <f>INDEX(Emissions!$I32:$AM32,MATCH(AD$46,Emissions!$I$16:$AM$16,0))</f>
        <v>0.49017967959519682</v>
      </c>
      <c r="AE49" s="70">
        <f>INDEX(Emissions!$I32:$AM32,MATCH(AE$46,Emissions!$I$16:$AM$16,0))</f>
        <v>0.50227293856456612</v>
      </c>
      <c r="AF49" s="70">
        <f>INDEX(Emissions!$I32:$AM32,MATCH(AF$46,Emissions!$I$16:$AM$16,0))</f>
        <v>0.51436619753393964</v>
      </c>
      <c r="AG49" s="70">
        <f>INDEX(Emissions!$I32:$AM32,MATCH(AG$46,Emissions!$I$16:$AM$16,0))</f>
        <v>0.52645945650331327</v>
      </c>
      <c r="AH49" s="70">
        <f>INDEX(Emissions!$I32:$AM32,MATCH(AH$46,Emissions!$I$16:$AM$16,0))</f>
        <v>0.53855271547268679</v>
      </c>
    </row>
    <row r="50" spans="1:35" ht="15" customHeight="1" outlineLevel="1">
      <c r="C50" s="49" t="s">
        <v>70</v>
      </c>
      <c r="D50" s="17"/>
      <c r="E50" s="70">
        <f>INDEX(Emissions!$I33:$AM33,MATCH(E$46,Emissions!$I$16:$AM$16,0))*$C$34</f>
        <v>0.70212914585220498</v>
      </c>
      <c r="F50" s="70">
        <f>INDEX(Emissions!$I33:$AM33,MATCH(F$46,Emissions!$I$16:$AM$16,0))*$C$34</f>
        <v>1.4937533249690589</v>
      </c>
      <c r="G50" s="70">
        <f>INDEX(Emissions!$I33:$AM33,MATCH(G$46,Emissions!$I$16:$AM$16,0))*$C$34</f>
        <v>2.2861116423931618</v>
      </c>
      <c r="H50" s="70">
        <f>INDEX(Emissions!$I33:$AM33,MATCH(H$46,Emissions!$I$16:$AM$16,0))*$C$34</f>
        <v>2.4930611771237903</v>
      </c>
      <c r="I50" s="70">
        <f>INDEX(Emissions!$I33:$AM33,MATCH(I$46,Emissions!$I$16:$AM$16,0))*$C$34</f>
        <v>2.7010894361305207</v>
      </c>
      <c r="J50" s="70">
        <f>INDEX(Emissions!$I33:$AM33,MATCH(J$46,Emissions!$I$16:$AM$16,0))*$C$34</f>
        <v>2.9101203746854143</v>
      </c>
      <c r="K50" s="70">
        <f>INDEX(Emissions!$I33:$AM33,MATCH(K$46,Emissions!$I$16:$AM$16,0))*$C$34</f>
        <v>2.7512512182310651</v>
      </c>
      <c r="L50" s="70">
        <f>INDEX(Emissions!$I33:$AM33,MATCH(L$46,Emissions!$I$16:$AM$16,0))*$C$34</f>
        <v>2.5934457530116672</v>
      </c>
      <c r="M50" s="70">
        <f>INDEX(Emissions!$I33:$AM33,MATCH(M$46,Emissions!$I$16:$AM$16,0))*$C$34</f>
        <v>2.4368195484112083</v>
      </c>
      <c r="N50" s="70">
        <f>INDEX(Emissions!$I33:$AM33,MATCH(N$46,Emissions!$I$16:$AM$16,0))*$C$34</f>
        <v>2.2814974406010671</v>
      </c>
      <c r="O50" s="70">
        <f>INDEX(Emissions!$I33:$AM33,MATCH(O$46,Emissions!$I$16:$AM$16,0))*$C$34</f>
        <v>2.1276389887137843</v>
      </c>
      <c r="P50" s="70">
        <f>INDEX(Emissions!$I33:$AM33,MATCH(P$46,Emissions!$I$16:$AM$16,0))*$C$34</f>
        <v>2.2038749863260234</v>
      </c>
      <c r="Q50" s="70">
        <f>INDEX(Emissions!$I33:$AM33,MATCH(Q$46,Emissions!$I$16:$AM$16,0))*$C$34</f>
        <v>2.2817732388912635</v>
      </c>
      <c r="R50" s="70">
        <f>INDEX(Emissions!$I33:$AM33,MATCH(R$46,Emissions!$I$16:$AM$16,0))*$C$34</f>
        <v>2.3614285054507409</v>
      </c>
      <c r="S50" s="70">
        <f>INDEX(Emissions!$I33:$AM33,MATCH(S$46,Emissions!$I$16:$AM$16,0))*$C$34</f>
        <v>2.4430519305955145</v>
      </c>
      <c r="T50" s="70">
        <f>INDEX(Emissions!$I33:$AM33,MATCH(T$46,Emissions!$I$16:$AM$16,0))*$C$34</f>
        <v>2.5270142780752889</v>
      </c>
      <c r="U50" s="70">
        <f>INDEX(Emissions!$I33:$AM33,MATCH(U$46,Emissions!$I$16:$AM$16,0))*$C$34</f>
        <v>2.8352211484452194</v>
      </c>
      <c r="V50" s="70">
        <f>INDEX(Emissions!$I33:$AM33,MATCH(V$46,Emissions!$I$16:$AM$16,0))*$C$34</f>
        <v>3.1458302856647955</v>
      </c>
      <c r="W50" s="70">
        <f>INDEX(Emissions!$I33:$AM33,MATCH(W$46,Emissions!$I$16:$AM$16,0))*$C$34</f>
        <v>3.4589226570915037</v>
      </c>
      <c r="X50" s="70">
        <f>INDEX(Emissions!$I33:$AM33,MATCH(X$46,Emissions!$I$16:$AM$16,0))*$C$34</f>
        <v>3.774841446961684</v>
      </c>
      <c r="Y50" s="70">
        <f>INDEX(Emissions!$I33:$AM33,MATCH(Y$46,Emissions!$I$16:$AM$16,0))*$C$34</f>
        <v>3.8503382759009179</v>
      </c>
      <c r="Z50" s="70">
        <f>INDEX(Emissions!$I33:$AM33,MATCH(Z$46,Emissions!$I$16:$AM$16,0))*$C$34</f>
        <v>3.9273450414189357</v>
      </c>
      <c r="AA50" s="70">
        <f>INDEX(Emissions!$I33:$AM33,MATCH(AA$46,Emissions!$I$16:$AM$16,0))*$C$34</f>
        <v>4.005891942247314</v>
      </c>
      <c r="AB50" s="70">
        <f>INDEX(Emissions!$I33:$AM33,MATCH(AB$46,Emissions!$I$16:$AM$16,0))*$C$34</f>
        <v>4.0860097810922609</v>
      </c>
      <c r="AC50" s="70">
        <f>INDEX(Emissions!$I33:$AM33,MATCH(AC$46,Emissions!$I$16:$AM$16,0))*$C$34</f>
        <v>4.1677299767141056</v>
      </c>
      <c r="AD50" s="70">
        <f>INDEX(Emissions!$I33:$AM33,MATCH(AD$46,Emissions!$I$16:$AM$16,0))*$C$34</f>
        <v>4.2510845762483882</v>
      </c>
      <c r="AE50" s="70">
        <f>INDEX(Emissions!$I33:$AM33,MATCH(AE$46,Emissions!$I$16:$AM$16,0))*$C$34</f>
        <v>4.3361062677733555</v>
      </c>
      <c r="AF50" s="70">
        <f>INDEX(Emissions!$I33:$AM33,MATCH(AF$46,Emissions!$I$16:$AM$16,0))*$C$34</f>
        <v>4.4228283931288228</v>
      </c>
      <c r="AG50" s="70">
        <f>INDEX(Emissions!$I33:$AM33,MATCH(AG$46,Emissions!$I$16:$AM$16,0))*$C$34</f>
        <v>4.5112849609913992</v>
      </c>
      <c r="AH50" s="70">
        <f>INDEX(Emissions!$I33:$AM33,MATCH(AH$46,Emissions!$I$16:$AM$16,0))*$C$34</f>
        <v>4.6015106602112272</v>
      </c>
    </row>
    <row r="51" spans="1:35" ht="15" customHeight="1" outlineLevel="1">
      <c r="C51" s="49" t="s">
        <v>71</v>
      </c>
      <c r="D51" s="17"/>
      <c r="E51" s="70">
        <f>E$50*'Methane Leakage'!$C$6</f>
        <v>3.9108593423967816E-2</v>
      </c>
      <c r="F51" s="70">
        <f>F$50*'Methane Leakage'!$C$6</f>
        <v>8.3202060200776584E-2</v>
      </c>
      <c r="G51" s="70">
        <f>G$50*'Methane Leakage'!$C$6</f>
        <v>0.12733641848129912</v>
      </c>
      <c r="H51" s="70">
        <f>H$50*'Methane Leakage'!$C$6</f>
        <v>0.13886350756579513</v>
      </c>
      <c r="I51" s="70">
        <f>I$50*'Methane Leakage'!$C$6</f>
        <v>0.15045068159246999</v>
      </c>
      <c r="J51" s="70">
        <f>J$50*'Methane Leakage'!$C$6</f>
        <v>0.16209370486997757</v>
      </c>
      <c r="K51" s="70">
        <f>K$50*'Methane Leakage'!$C$6</f>
        <v>0.15324469285547032</v>
      </c>
      <c r="L51" s="70">
        <f>L$50*'Methane Leakage'!$C$6</f>
        <v>0.14445492844274987</v>
      </c>
      <c r="M51" s="70">
        <f>M$50*'Methane Leakage'!$C$6</f>
        <v>0.1357308488465043</v>
      </c>
      <c r="N51" s="70">
        <f>N$50*'Methane Leakage'!$C$6</f>
        <v>0.12707940744147944</v>
      </c>
      <c r="O51" s="70">
        <f>O$50*'Methane Leakage'!$C$6</f>
        <v>0.11850949167135778</v>
      </c>
      <c r="P51" s="70">
        <f>P$50*'Methane Leakage'!$C$6</f>
        <v>0.12275583673835951</v>
      </c>
      <c r="Q51" s="70">
        <f>Q$50*'Methane Leakage'!$C$6</f>
        <v>0.12709476940624337</v>
      </c>
      <c r="R51" s="70">
        <f>R$50*'Methane Leakage'!$C$6</f>
        <v>0.13153156775360628</v>
      </c>
      <c r="S51" s="70">
        <f>S$50*'Methane Leakage'!$C$6</f>
        <v>0.13607799253417016</v>
      </c>
      <c r="T51" s="70">
        <f>T$50*'Methane Leakage'!$C$6</f>
        <v>0.14075469528879359</v>
      </c>
      <c r="U51" s="70">
        <f>U$50*'Methane Leakage'!$C$6</f>
        <v>0.15792181796839871</v>
      </c>
      <c r="V51" s="70">
        <f>V$50*'Methane Leakage'!$C$6</f>
        <v>0.17522274691152911</v>
      </c>
      <c r="W51" s="70">
        <f>W$50*'Methane Leakage'!$C$6</f>
        <v>0.19266199199999676</v>
      </c>
      <c r="X51" s="70">
        <f>X$50*'Methane Leakage'!$C$6</f>
        <v>0.21025866859576581</v>
      </c>
      <c r="Y51" s="70">
        <f>Y$50*'Methane Leakage'!$C$6</f>
        <v>0.21446384196768112</v>
      </c>
      <c r="Z51" s="70">
        <f>Z$50*'Methane Leakage'!$C$6</f>
        <v>0.21875311880703471</v>
      </c>
      <c r="AA51" s="70">
        <f>AA$50*'Methane Leakage'!$C$6</f>
        <v>0.2231281811831754</v>
      </c>
      <c r="AB51" s="70">
        <f>AB$50*'Methane Leakage'!$C$6</f>
        <v>0.22759074480683894</v>
      </c>
      <c r="AC51" s="70">
        <f>AC$50*'Methane Leakage'!$C$6</f>
        <v>0.23214255970297568</v>
      </c>
      <c r="AD51" s="70">
        <f>AD$50*'Methane Leakage'!$C$6</f>
        <v>0.23678541089703523</v>
      </c>
      <c r="AE51" s="70">
        <f>AE$50*'Methane Leakage'!$C$6</f>
        <v>0.2415211191149759</v>
      </c>
      <c r="AF51" s="70">
        <f>AF$50*'Methane Leakage'!$C$6</f>
        <v>0.24635154149727542</v>
      </c>
      <c r="AG51" s="70">
        <f>AG$50*'Methane Leakage'!$C$6</f>
        <v>0.25127857232722095</v>
      </c>
      <c r="AH51" s="70">
        <f>AH$50*'Methane Leakage'!$C$6</f>
        <v>0.25630414377376537</v>
      </c>
    </row>
    <row r="52" spans="1:35" ht="15" customHeight="1" outlineLevel="1">
      <c r="C52" s="49" t="s">
        <v>72</v>
      </c>
      <c r="D52" s="17"/>
      <c r="E52" s="70">
        <f>E$50*'Methane Leakage'!$C$9</f>
        <v>2.6586094482542431E-2</v>
      </c>
      <c r="F52" s="70">
        <f>F$50*'Methane Leakage'!$C$9</f>
        <v>5.6560915133408704E-2</v>
      </c>
      <c r="G52" s="70">
        <f>G$50*'Methane Leakage'!$C$9</f>
        <v>8.6563533904485582E-2</v>
      </c>
      <c r="H52" s="70">
        <f>H$50*'Methane Leakage'!$C$9</f>
        <v>9.4399670484158107E-2</v>
      </c>
      <c r="I52" s="70">
        <f>I$50*'Methane Leakage'!$C$9</f>
        <v>0.10227665291917572</v>
      </c>
      <c r="J52" s="70">
        <f>J$50*'Methane Leakage'!$C$9</f>
        <v>0.1101916017786904</v>
      </c>
      <c r="K52" s="70">
        <f>K$50*'Methane Leakage'!$C$9</f>
        <v>0.10417602696769086</v>
      </c>
      <c r="L52" s="70">
        <f>L$50*'Methane Leakage'!$C$9</f>
        <v>9.8200728786481908E-2</v>
      </c>
      <c r="M52" s="70">
        <f>M$50*'Methane Leakage'!$C$9</f>
        <v>9.2270083265570374E-2</v>
      </c>
      <c r="N52" s="70">
        <f>N$50*'Methane Leakage'!$C$9</f>
        <v>8.6388817322029451E-2</v>
      </c>
      <c r="O52" s="70">
        <f>O$50*'Methane Leakage'!$C$9</f>
        <v>8.0562972656589446E-2</v>
      </c>
      <c r="P52" s="70">
        <f>P$50*'Methane Leakage'!$C$9</f>
        <v>8.3449645923841201E-2</v>
      </c>
      <c r="Q52" s="70">
        <f>Q$50*'Methane Leakage'!$C$9</f>
        <v>8.6399260414222107E-2</v>
      </c>
      <c r="R52" s="70">
        <f>R$50*'Methane Leakage'!$C$9</f>
        <v>8.9415404175370194E-2</v>
      </c>
      <c r="S52" s="70">
        <f>S$50*'Methane Leakage'!$C$9</f>
        <v>9.2506072189519922E-2</v>
      </c>
      <c r="T52" s="70">
        <f>T$50*'Methane Leakage'!$C$9</f>
        <v>9.5685303412522335E-2</v>
      </c>
      <c r="U52" s="70">
        <f>U$50*'Methane Leakage'!$C$9</f>
        <v>0.10735554531065382</v>
      </c>
      <c r="V52" s="70">
        <f>V$50*'Methane Leakage'!$C$9</f>
        <v>0.11911674895537318</v>
      </c>
      <c r="W52" s="70">
        <f>W$50*'Methane Leakage'!$C$9</f>
        <v>0.13097198017271661</v>
      </c>
      <c r="X52" s="70">
        <f>X$50*'Methane Leakage'!$C$9</f>
        <v>0.14293423362126811</v>
      </c>
      <c r="Y52" s="70">
        <f>Y$50*'Methane Leakage'!$C$9</f>
        <v>0.14579291829369351</v>
      </c>
      <c r="Z52" s="70">
        <f>Z$50*'Methane Leakage'!$C$9</f>
        <v>0.14870877665956736</v>
      </c>
      <c r="AA52" s="70">
        <f>AA$50*'Methane Leakage'!$C$9</f>
        <v>0.15168295219275868</v>
      </c>
      <c r="AB52" s="70">
        <f>AB$50*'Methane Leakage'!$C$9</f>
        <v>0.15471661123661387</v>
      </c>
      <c r="AC52" s="70">
        <f>AC$50*'Methane Leakage'!$C$9</f>
        <v>0.15781094346134614</v>
      </c>
      <c r="AD52" s="70">
        <f>AD$50*'Methane Leakage'!$C$9</f>
        <v>0.16096716233057307</v>
      </c>
      <c r="AE52" s="70">
        <f>AE$50*'Methane Leakage'!$C$9</f>
        <v>0.16418650557718451</v>
      </c>
      <c r="AF52" s="70">
        <f>AF$50*'Methane Leakage'!$C$9</f>
        <v>0.16747023568872821</v>
      </c>
      <c r="AG52" s="70">
        <f>AG$50*'Methane Leakage'!$C$9</f>
        <v>0.17081964040250278</v>
      </c>
      <c r="AH52" s="70">
        <f>AH$50*'Methane Leakage'!$C$9</f>
        <v>0.17423603321055284</v>
      </c>
    </row>
    <row r="53" spans="1:35" ht="15" customHeight="1" outlineLevel="1">
      <c r="C53" s="50" t="s">
        <v>44</v>
      </c>
      <c r="D53" s="17"/>
      <c r="E53" s="70">
        <f>INDEX(Emissions!$I$31:$AM$31,MATCH(E46,Emissions!$I$30:$AM$30,0))</f>
        <v>0</v>
      </c>
      <c r="F53" s="70">
        <f>INDEX(Emissions!$I$31:$AM$31,MATCH(F46,Emissions!$I$30:$AM$30,0))</f>
        <v>0</v>
      </c>
      <c r="G53" s="70">
        <f>INDEX(Emissions!$I$31:$AM$31,MATCH(G46,Emissions!$I$30:$AM$30,0))</f>
        <v>0</v>
      </c>
      <c r="H53" s="70">
        <f>INDEX(Emissions!$I$31:$AM$31,MATCH(H46,Emissions!$I$30:$AM$30,0))</f>
        <v>0</v>
      </c>
      <c r="I53" s="70">
        <f>INDEX(Emissions!$I$31:$AM$31,MATCH(I46,Emissions!$I$30:$AM$30,0))</f>
        <v>0</v>
      </c>
      <c r="J53" s="70">
        <f>INDEX(Emissions!$I$31:$AM$31,MATCH(J46,Emissions!$I$30:$AM$30,0))</f>
        <v>0</v>
      </c>
      <c r="K53" s="70">
        <f>INDEX(Emissions!$I$31:$AM$31,MATCH(K46,Emissions!$I$30:$AM$30,0))</f>
        <v>0</v>
      </c>
      <c r="L53" s="70">
        <f>INDEX(Emissions!$I$31:$AM$31,MATCH(L46,Emissions!$I$30:$AM$30,0))</f>
        <v>0</v>
      </c>
      <c r="M53" s="70">
        <f>INDEX(Emissions!$I$31:$AM$31,MATCH(M46,Emissions!$I$30:$AM$30,0))</f>
        <v>0</v>
      </c>
      <c r="N53" s="70">
        <f>INDEX(Emissions!$I$31:$AM$31,MATCH(N46,Emissions!$I$30:$AM$30,0))</f>
        <v>0</v>
      </c>
      <c r="O53" s="70">
        <f>INDEX(Emissions!$I$31:$AM$31,MATCH(O46,Emissions!$I$30:$AM$30,0))</f>
        <v>0</v>
      </c>
      <c r="P53" s="70">
        <f>INDEX(Emissions!$I$31:$AM$31,MATCH(P46,Emissions!$I$30:$AM$30,0))</f>
        <v>0</v>
      </c>
      <c r="Q53" s="70">
        <f>INDEX(Emissions!$I$31:$AM$31,MATCH(Q46,Emissions!$I$30:$AM$30,0))</f>
        <v>0</v>
      </c>
      <c r="R53" s="70">
        <f>INDEX(Emissions!$I$31:$AM$31,MATCH(R46,Emissions!$I$30:$AM$30,0))</f>
        <v>0</v>
      </c>
      <c r="S53" s="70">
        <f>INDEX(Emissions!$I$31:$AM$31,MATCH(S46,Emissions!$I$30:$AM$30,0))</f>
        <v>0</v>
      </c>
      <c r="T53" s="70">
        <f>INDEX(Emissions!$I$31:$AM$31,MATCH(T46,Emissions!$I$30:$AM$30,0))</f>
        <v>0</v>
      </c>
      <c r="U53" s="70">
        <f>INDEX(Emissions!$I$31:$AM$31,MATCH(U46,Emissions!$I$30:$AM$30,0))</f>
        <v>0</v>
      </c>
      <c r="V53" s="70">
        <f>INDEX(Emissions!$I$31:$AM$31,MATCH(V46,Emissions!$I$30:$AM$30,0))</f>
        <v>0</v>
      </c>
      <c r="W53" s="70">
        <f>INDEX(Emissions!$I$31:$AM$31,MATCH(W46,Emissions!$I$30:$AM$30,0))</f>
        <v>0</v>
      </c>
      <c r="X53" s="70">
        <f>INDEX(Emissions!$I$31:$AM$31,MATCH(X46,Emissions!$I$30:$AM$30,0))</f>
        <v>0</v>
      </c>
      <c r="Y53" s="70">
        <f>INDEX(Emissions!$I$31:$AM$31,MATCH(Y46,Emissions!$I$30:$AM$30,0))</f>
        <v>0</v>
      </c>
      <c r="Z53" s="70">
        <f>INDEX(Emissions!$I$31:$AM$31,MATCH(Z46,Emissions!$I$30:$AM$30,0))</f>
        <v>0</v>
      </c>
      <c r="AA53" s="70">
        <f>INDEX(Emissions!$I$31:$AM$31,MATCH(AA46,Emissions!$I$30:$AM$30,0))</f>
        <v>0</v>
      </c>
      <c r="AB53" s="70">
        <f>INDEX(Emissions!$I$31:$AM$31,MATCH(AB46,Emissions!$I$30:$AM$30,0))</f>
        <v>0</v>
      </c>
      <c r="AC53" s="70">
        <f>INDEX(Emissions!$I$31:$AM$31,MATCH(AC46,Emissions!$I$30:$AM$30,0))</f>
        <v>0</v>
      </c>
      <c r="AD53" s="70">
        <f>INDEX(Emissions!$I$31:$AM$31,MATCH(AD46,Emissions!$I$30:$AM$30,0))</f>
        <v>0</v>
      </c>
      <c r="AE53" s="70">
        <f>INDEX(Emissions!$I$31:$AM$31,MATCH(AE46,Emissions!$I$30:$AM$30,0))</f>
        <v>0</v>
      </c>
      <c r="AF53" s="70">
        <f>INDEX(Emissions!$I$31:$AM$31,MATCH(AF46,Emissions!$I$30:$AM$30,0))</f>
        <v>0</v>
      </c>
      <c r="AG53" s="70">
        <f>INDEX(Emissions!$I$31:$AM$31,MATCH(AG46,Emissions!$I$30:$AM$30,0))</f>
        <v>0</v>
      </c>
      <c r="AH53" s="70">
        <f>INDEX(Emissions!$I$31:$AM$31,MATCH(AH46,Emissions!$I$30:$AM$30,0))</f>
        <v>0</v>
      </c>
    </row>
    <row r="54" spans="1:35" ht="15" customHeight="1"/>
    <row r="55" spans="1:35" ht="15" customHeight="1">
      <c r="A55" s="234"/>
      <c r="B55" s="234" t="s">
        <v>73</v>
      </c>
      <c r="C55" s="234"/>
      <c r="D55" s="234"/>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4"/>
      <c r="AE55" s="234"/>
      <c r="AF55" s="234"/>
      <c r="AG55" s="234"/>
      <c r="AH55" s="234"/>
      <c r="AI55" s="234"/>
    </row>
    <row r="56" spans="1:35" ht="15" customHeight="1">
      <c r="C56" s="39"/>
    </row>
    <row r="57" spans="1:35" ht="15" customHeight="1">
      <c r="C57" s="23" t="str">
        <f>"Gas Avoided Cost: " &amp; IF(C22,B22,"") &amp;"  " &amp;IF(C23,B23,"") &amp; " " &amp; IF(C24,B24,"") &amp; " " &amp; IF(C25,B25,"") &amp; " " &amp; IF(C26,B26,"") &amp; " "  &amp; IF(C28,B28,"") &amp; " (Nominal $/Therm)"</f>
        <v>Gas Avoided Cost: Market (Commodity)  T&amp;D Environment (CO2 &amp; NOx) Upstream methane leakage Behind-the-meter methane leakage  (Nominal $/Therm)</v>
      </c>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1:35" ht="15" customHeight="1">
      <c r="B58" s="39"/>
      <c r="C58" s="234" t="s">
        <v>74</v>
      </c>
      <c r="D58" s="234"/>
      <c r="E58" s="234">
        <f t="shared" ref="E58:AH58" si="1">E$46</f>
        <v>2026</v>
      </c>
      <c r="F58" s="234">
        <f t="shared" si="1"/>
        <v>2027</v>
      </c>
      <c r="G58" s="234">
        <f t="shared" si="1"/>
        <v>2028</v>
      </c>
      <c r="H58" s="234">
        <f t="shared" si="1"/>
        <v>2029</v>
      </c>
      <c r="I58" s="234">
        <f t="shared" si="1"/>
        <v>2030</v>
      </c>
      <c r="J58" s="234">
        <f t="shared" si="1"/>
        <v>2031</v>
      </c>
      <c r="K58" s="234">
        <f t="shared" si="1"/>
        <v>2032</v>
      </c>
      <c r="L58" s="234">
        <f t="shared" si="1"/>
        <v>2033</v>
      </c>
      <c r="M58" s="234">
        <f t="shared" si="1"/>
        <v>2034</v>
      </c>
      <c r="N58" s="234">
        <f t="shared" si="1"/>
        <v>2035</v>
      </c>
      <c r="O58" s="234">
        <f t="shared" si="1"/>
        <v>2036</v>
      </c>
      <c r="P58" s="234">
        <f t="shared" si="1"/>
        <v>2037</v>
      </c>
      <c r="Q58" s="234">
        <f t="shared" si="1"/>
        <v>2038</v>
      </c>
      <c r="R58" s="234">
        <f t="shared" si="1"/>
        <v>2039</v>
      </c>
      <c r="S58" s="234">
        <f t="shared" si="1"/>
        <v>2040</v>
      </c>
      <c r="T58" s="234">
        <f t="shared" si="1"/>
        <v>2041</v>
      </c>
      <c r="U58" s="234">
        <f t="shared" si="1"/>
        <v>2042</v>
      </c>
      <c r="V58" s="234">
        <f t="shared" si="1"/>
        <v>2043</v>
      </c>
      <c r="W58" s="234">
        <f t="shared" si="1"/>
        <v>2044</v>
      </c>
      <c r="X58" s="234">
        <f t="shared" si="1"/>
        <v>2045</v>
      </c>
      <c r="Y58" s="234">
        <f t="shared" si="1"/>
        <v>2046</v>
      </c>
      <c r="Z58" s="234">
        <f t="shared" si="1"/>
        <v>2047</v>
      </c>
      <c r="AA58" s="234">
        <f t="shared" si="1"/>
        <v>2048</v>
      </c>
      <c r="AB58" s="234">
        <f t="shared" si="1"/>
        <v>2049</v>
      </c>
      <c r="AC58" s="234">
        <f t="shared" si="1"/>
        <v>2050</v>
      </c>
      <c r="AD58" s="234">
        <f t="shared" si="1"/>
        <v>2051</v>
      </c>
      <c r="AE58" s="234">
        <f t="shared" si="1"/>
        <v>2052</v>
      </c>
      <c r="AF58" s="234">
        <f t="shared" si="1"/>
        <v>2053</v>
      </c>
      <c r="AG58" s="234">
        <f t="shared" si="1"/>
        <v>2054</v>
      </c>
      <c r="AH58" s="234">
        <f t="shared" si="1"/>
        <v>2055</v>
      </c>
    </row>
    <row r="59" spans="1:35" ht="15" customHeight="1">
      <c r="B59" s="90" t="s">
        <v>52</v>
      </c>
      <c r="C59" s="239">
        <f t="shared" ref="C59:C70" ca="1" si="2">-PMT($C$17,$C$15,NPV($C$17,OFFSET(E59,0,$C$72,1,$C$15)))</f>
        <v>4.4895490942705871</v>
      </c>
      <c r="E59" s="239">
        <f>Commodity!C36*(1+$C$35+$C$36)*$C$22+
$F33*E$48*$C$23*(1+$C$35+$C$36)+
(E$49+E$50)*$C$24+
E$51*$C$25+
E$52*$C$26+
E$53*$C$28</f>
        <v>2.4221784030559599</v>
      </c>
      <c r="F59" s="239">
        <f>Commodity!D36*(1+$C$35+$C$36)*$C$22+
$F33*F$48*$C$23*(1+$C$35+$C$36)+
(F$49+F$50)*$C$24+
F$51*$C$25+
F$52*$C$26+
F$53*$C$28</f>
        <v>3.3082485312460252</v>
      </c>
      <c r="G59" s="239">
        <f>Commodity!E36*(1+$C$35+$C$36)*$C$22+
$F33*G$48*$C$23*(1+$C$35+$C$36)+
(G$49+G$50)*$C$24+
G$51*$C$25+
G$52*$C$26+
G$53*$C$28</f>
        <v>4.2164406075532117</v>
      </c>
      <c r="H59" s="239">
        <f>Commodity!F36*(1+$C$35+$C$36)*$C$22+
$F33*H$48*$C$23*(1+$C$35+$C$36)+
(H$49+H$50)*$C$24+
H$51*$C$25+
H$52*$C$26+
H$53*$C$28</f>
        <v>4.4851129271052592</v>
      </c>
      <c r="I59" s="239">
        <f>Commodity!G36*(1+$C$35+$C$36)*$C$22+
$F33*I$48*$C$23*(1+$C$35+$C$36)+
(I$49+I$50)*$C$24+
I$51*$C$25+
I$52*$C$26+
I$53*$C$28</f>
        <v>4.7556251673943919</v>
      </c>
      <c r="J59" s="239">
        <f>Commodity!H36*(1+$C$35+$C$36)*$C$22+
$F33*J$48*$C$23*(1+$C$35+$C$36)+
(J$49+J$50)*$C$24+
J$51*$C$25+
J$52*$C$26+
J$53*$C$28</f>
        <v>5.0277863245514167</v>
      </c>
      <c r="K59" s="239">
        <f>Commodity!I36*(1+$C$35+$C$36)*$C$22+
$F33*K$48*$C$23*(1+$C$35+$C$36)+
(K$49+K$50)*$C$24+
K$51*$C$25+
K$52*$C$26+
K$53*$C$28</f>
        <v>4.8984021807804465</v>
      </c>
      <c r="L59" s="239">
        <f>Commodity!J36*(1+$C$35+$C$36)*$C$22+
$F33*L$48*$C$23*(1+$C$35+$C$36)+
(L$49+L$50)*$C$24+
L$51*$C$25+
L$52*$C$26+
L$53*$C$28</f>
        <v>4.7711473668552591</v>
      </c>
      <c r="M59" s="239">
        <f>Commodity!K36*(1+$C$35+$C$36)*$C$22+
$F33*M$48*$C$23*(1+$C$35+$C$36)+
(M$49+M$50)*$C$24+
M$51*$C$25+
M$52*$C$26+
M$53*$C$28</f>
        <v>4.645790591270706</v>
      </c>
      <c r="N59" s="239">
        <f>Commodity!L36*(1+$C$35+$C$36)*$C$22+
$F33*N$48*$C$23*(1+$C$35+$C$36)+
(N$49+N$50)*$C$24+
N$51*$C$25+
N$52*$C$26+
N$53*$C$28</f>
        <v>4.5229400561499231</v>
      </c>
      <c r="O59" s="239">
        <f>Commodity!M36*(1+$C$35+$C$36)*$C$22+
$F33*O$48*$C$23*(1+$C$35+$C$36)+
(O$49+O$50)*$C$24+
O$51*$C$25+
O$52*$C$26+
O$53*$C$28</f>
        <v>4.4019791770434793</v>
      </c>
      <c r="P59" s="239">
        <f>Commodity!N36*(1+$C$35+$C$36)*$C$22+
$F33*P$48*$C$23*(1+$C$35+$C$36)+
(P$49+P$50)*$C$24+
P$51*$C$25+
P$52*$C$26+
P$53*$C$28</f>
        <v>4.533580518155941</v>
      </c>
      <c r="Q59" s="239">
        <f>Commodity!O36*(1+$C$35+$C$36)*$C$22+
$F33*Q$48*$C$23*(1+$C$35+$C$36)+
(Q$49+Q$50)*$C$24+
Q$51*$C$25+
Q$52*$C$26+
Q$53*$C$28</f>
        <v>4.6682199828275541</v>
      </c>
      <c r="R59" s="239">
        <f>Commodity!P36*(1+$C$35+$C$36)*$C$22+
$F33*R$48*$C$23*(1+$C$35+$C$36)+
(R$49+R$50)*$C$24+
R$51*$C$25+
R$52*$C$26+
R$53*$C$28</f>
        <v>4.8057463657946595</v>
      </c>
      <c r="S59" s="239">
        <f>Commodity!Q36*(1+$C$35+$C$36)*$C$22+
$F33*S$48*$C$23*(1+$C$35+$C$36)+
(S$49+S$50)*$C$24+
S$51*$C$25+
S$52*$C$26+
S$53*$C$28</f>
        <v>4.9463719088349327</v>
      </c>
      <c r="T59" s="239">
        <f>Commodity!R36*(1+$C$35+$C$36)*$C$22+
$F33*T$48*$C$23*(1+$C$35+$C$36)+
(T$49+T$50)*$C$24+
T$51*$C$25+
T$52*$C$26+
T$53*$C$28</f>
        <v>5.0902070839169777</v>
      </c>
      <c r="U59" s="239">
        <f>Commodity!S36*(1+$C$35+$C$36)*$C$22+
$F33*U$48*$C$23*(1+$C$35+$C$36)+
(U$49+U$50)*$C$24+
U$51*$C$25+
U$52*$C$26+
U$53*$C$28</f>
        <v>5.4800800407970964</v>
      </c>
      <c r="V59" s="239">
        <f>Commodity!T36*(1+$C$35+$C$36)*$C$22+
$F33*V$48*$C$23*(1+$C$35+$C$36)+
(V$49+V$50)*$C$24+
V$51*$C$25+
V$52*$C$26+
V$53*$C$28</f>
        <v>5.8734800585869156</v>
      </c>
      <c r="W59" s="239">
        <f>Commodity!U36*(1+$C$35+$C$36)*$C$22+
$F33*W$48*$C$23*(1+$C$35+$C$36)+
(W$49+W$50)*$C$24+
W$51*$C$25+
W$52*$C$26+
W$53*$C$28</f>
        <v>6.2705222840588206</v>
      </c>
      <c r="X59" s="239">
        <f>Commodity!V36*(1+$C$35+$C$36)*$C$22+
$F33*X$48*$C$23*(1+$C$35+$C$36)+
(X$49+X$50)*$C$24+
X$51*$C$25+
X$52*$C$26+
X$53*$C$28</f>
        <v>6.6715148120044523</v>
      </c>
      <c r="Y59" s="239">
        <f>Commodity!W36*(1+$C$35+$C$36)*$C$22+
$F33*Y$48*$C$23*(1+$C$35+$C$36)+
(Y$49+Y$50)*$C$24+
Y$51*$C$25+
Y$52*$C$26+
Y$53*$C$28</f>
        <v>6.8105621713862483</v>
      </c>
      <c r="Z59" s="239">
        <f>Commodity!X36*(1+$C$35+$C$36)*$C$22+
$F33*Z$48*$C$23*(1+$C$35+$C$36)+
(Z$49+Z$50)*$C$24+
Z$51*$C$25+
Z$52*$C$26+
Z$53*$C$28</f>
        <v>6.9522400154121682</v>
      </c>
      <c r="AA59" s="239">
        <f>Commodity!Y36*(1+$C$35+$C$36)*$C$22+
$F33*AA$48*$C$23*(1+$C$35+$C$36)+
(AA$49+AA$50)*$C$24+
AA$51*$C$25+
AA$52*$C$26+
AA$53*$C$28</f>
        <v>7.0966431054862653</v>
      </c>
      <c r="AB59" s="239">
        <f>Commodity!Z36*(1+$C$35+$C$36)*$C$22+
$F33*AB$48*$C$23*(1+$C$35+$C$36)+
(AB$49+AB$50)*$C$24+
AB$51*$C$25+
AB$52*$C$26+
AB$53*$C$28</f>
        <v>7.2437249271935364</v>
      </c>
      <c r="AC59" s="239">
        <f>Commodity!AA36*(1+$C$35+$C$36)*$C$22+
$F33*AC$48*$C$23*(1+$C$35+$C$36)+
(AC$49+AC$50)*$C$24+
AC$51*$C$25+
AC$52*$C$26+
AC$53*$C$28</f>
        <v>7.3935119930178956</v>
      </c>
      <c r="AD59" s="239">
        <f>Commodity!AB36*(1+$C$35+$C$36)*$C$22+
$F33*AD$48*$C$23*(1+$C$35+$C$36)+
(AD$49+AD$50)*$C$24+
AD$51*$C$25+
AD$52*$C$26+
AD$53*$C$28</f>
        <v>7.5438707001882541</v>
      </c>
      <c r="AE59" s="239">
        <f>Commodity!AC36*(1+$C$35+$C$36)*$C$22+
$F33*AE$48*$C$23*(1+$C$35+$C$36)+
(AE$49+AE$50)*$C$24+
AE$51*$C$25+
AE$52*$C$26+
AE$53*$C$28</f>
        <v>7.6978407443782784</v>
      </c>
      <c r="AF59" s="239">
        <f>Commodity!AD36*(1+$C$35+$C$36)*$C$22+
$F33*AF$48*$C$23*(1+$C$35+$C$36)+
(AF$49+AF$50)*$C$24+
AF$51*$C$25+
AF$52*$C$26+
AF$53*$C$28</f>
        <v>7.8541164391770257</v>
      </c>
      <c r="AG59" s="239">
        <f>Commodity!AE36*(1+$C$35+$C$36)*$C$22+
$F33*AG$48*$C$23*(1+$C$35+$C$36)+
(AG$49+AG$50)*$C$24+
AG$51*$C$25+
AG$52*$C$26+
AG$53*$C$28</f>
        <v>8.0128218207745849</v>
      </c>
      <c r="AH59" s="239">
        <f>Commodity!AF36*(1+$C$35+$C$36)*$C$22+
$F33*AH$48*$C$23*(1+$C$35+$C$36)+
(AH$49+AH$50)*$C$24+
AH$51*$C$25+
AH$52*$C$26+
AH$53*$C$28</f>
        <v>8.1739238584875658</v>
      </c>
    </row>
    <row r="60" spans="1:35" ht="15" customHeight="1">
      <c r="B60" s="67" t="s">
        <v>54</v>
      </c>
      <c r="C60" s="239">
        <f t="shared" ca="1" si="2"/>
        <v>4.473624312781487</v>
      </c>
      <c r="E60" s="239">
        <f>Commodity!C37*(1+$C$35+$C$36)*$C$22+
$F34*E$48*$C$23*(1+$C$35+$C$36)+
(E$49+E$50)*$C$24+
E$51*$C$25+
E$52*$C$26+
E$53*$C$28</f>
        <v>2.4085181628809496</v>
      </c>
      <c r="F60" s="239">
        <f>Commodity!D37*(1+$C$35+$C$36)*$C$22+
$F34*F$48*$C$23*(1+$C$35+$C$36)+
(F$49+F$50)*$C$24+
F$51*$C$25+
F$52*$C$26+
F$53*$C$28</f>
        <v>3.2943000824110009</v>
      </c>
      <c r="G60" s="239">
        <f>Commodity!E37*(1+$C$35+$C$36)*$C$22+
$F34*G$48*$C$23*(1+$C$35+$C$36)+
(G$49+G$50)*$C$24+
G$51*$C$25+
G$52*$C$26+
G$53*$C$28</f>
        <v>4.2022253081420819</v>
      </c>
      <c r="H60" s="239">
        <f>Commodity!F37*(1+$C$35+$C$36)*$C$22+
$F34*H$48*$C$23*(1+$C$35+$C$36)+
(H$49+H$50)*$C$24+
H$51*$C$25+
H$52*$C$26+
H$53*$C$28</f>
        <v>4.4706169277510863</v>
      </c>
      <c r="I60" s="239">
        <f>Commodity!G37*(1+$C$35+$C$36)*$C$22+
$F34*I$48*$C$23*(1+$C$35+$C$36)+
(I$49+I$50)*$C$24+
I$51*$C$25+
I$52*$C$26+
I$53*$C$28</f>
        <v>4.7408267695370014</v>
      </c>
      <c r="J60" s="239">
        <f>Commodity!H37*(1+$C$35+$C$36)*$C$22+
$F34*J$48*$C$23*(1+$C$35+$C$36)+
(J$49+J$50)*$C$24+
J$51*$C$25+
J$52*$C$26+
J$53*$C$28</f>
        <v>5.0126869904649807</v>
      </c>
      <c r="K60" s="239">
        <f>Commodity!I37*(1+$C$35+$C$36)*$C$22+
$F34*K$48*$C$23*(1+$C$35+$C$36)+
(K$49+K$50)*$C$24+
K$51*$C$25+
K$52*$C$26+
K$53*$C$28</f>
        <v>4.8830079800537849</v>
      </c>
      <c r="L60" s="239">
        <f>Commodity!J37*(1+$C$35+$C$36)*$C$22+
$F34*L$48*$C$23*(1+$C$35+$C$36)+
(L$49+L$50)*$C$24+
L$51*$C$25+
L$52*$C$26+
L$53*$C$28</f>
        <v>4.7554079057509906</v>
      </c>
      <c r="M60" s="239">
        <f>Commodity!K37*(1+$C$35+$C$36)*$C$22+
$F34*M$48*$C$23*(1+$C$35+$C$36)+
(M$49+M$50)*$C$24+
M$51*$C$25+
M$52*$C$26+
M$53*$C$28</f>
        <v>4.629752864178446</v>
      </c>
      <c r="N60" s="239">
        <f>Commodity!L37*(1+$C$35+$C$36)*$C$22+
$F34*N$48*$C$23*(1+$C$35+$C$36)+
(N$49+N$50)*$C$24+
N$51*$C$25+
N$52*$C$26+
N$53*$C$28</f>
        <v>4.5065091267707738</v>
      </c>
      <c r="O60" s="239">
        <f>Commodity!M37*(1+$C$35+$C$36)*$C$22+
$F34*O$48*$C$23*(1+$C$35+$C$36)+
(O$49+O$50)*$C$24+
O$51*$C$25+
O$52*$C$26+
O$53*$C$28</f>
        <v>4.3852131725258348</v>
      </c>
      <c r="P60" s="239">
        <f>Commodity!N37*(1+$C$35+$C$36)*$C$22+
$F34*P$48*$C$23*(1+$C$35+$C$36)+
(P$49+P$50)*$C$24+
P$51*$C$25+
P$52*$C$26+
P$53*$C$28</f>
        <v>4.5164895429862559</v>
      </c>
      <c r="Q60" s="239">
        <f>Commodity!O37*(1+$C$35+$C$36)*$C$22+
$F34*Q$48*$C$23*(1+$C$35+$C$36)+
(Q$49+Q$50)*$C$24+
Q$51*$C$25+
Q$52*$C$26+
Q$53*$C$28</f>
        <v>4.6507625949161504</v>
      </c>
      <c r="R60" s="239">
        <f>Commodity!P37*(1+$C$35+$C$36)*$C$22+
$F34*R$48*$C$23*(1+$C$35+$C$36)+
(R$49+R$50)*$C$24+
R$51*$C$25+
R$52*$C$26+
R$53*$C$28</f>
        <v>4.7879106443015225</v>
      </c>
      <c r="S60" s="239">
        <f>Commodity!Q37*(1+$C$35+$C$36)*$C$22+
$F34*S$48*$C$23*(1+$C$35+$C$36)+
(S$49+S$50)*$C$24+
S$51*$C$25+
S$52*$C$26+
S$53*$C$28</f>
        <v>4.9281254109539985</v>
      </c>
      <c r="T60" s="239">
        <f>Commodity!R37*(1+$C$35+$C$36)*$C$22+
$F34*T$48*$C$23*(1+$C$35+$C$36)+
(T$49+T$50)*$C$24+
T$51*$C$25+
T$52*$C$26+
T$53*$C$28</f>
        <v>5.0715660129834728</v>
      </c>
      <c r="U60" s="239">
        <f>Commodity!S37*(1+$C$35+$C$36)*$C$22+
$F34*U$48*$C$23*(1+$C$35+$C$36)+
(U$49+U$50)*$C$24+
U$51*$C$25+
U$52*$C$26+
U$53*$C$28</f>
        <v>5.4610330736073376</v>
      </c>
      <c r="V60" s="239">
        <f>Commodity!T37*(1+$C$35+$C$36)*$C$22+
$F34*V$48*$C$23*(1+$C$35+$C$36)+
(V$49+V$50)*$C$24+
V$51*$C$25+
V$52*$C$26+
V$53*$C$28</f>
        <v>5.8540184561289657</v>
      </c>
      <c r="W60" s="239">
        <f>Commodity!U37*(1+$C$35+$C$36)*$C$22+
$F34*W$48*$C$23*(1+$C$35+$C$36)+
(W$49+W$50)*$C$24+
W$51*$C$25+
W$52*$C$26+
W$53*$C$28</f>
        <v>6.2506336332820647</v>
      </c>
      <c r="X60" s="239">
        <f>Commodity!V37*(1+$C$35+$C$36)*$C$22+
$F34*X$48*$C$23*(1+$C$35+$C$36)+
(X$49+X$50)*$C$24+
X$51*$C$25+
X$52*$C$26+
X$53*$C$28</f>
        <v>6.6511931291418209</v>
      </c>
      <c r="Y60" s="239">
        <f>Commodity!W37*(1+$C$35+$C$36)*$C$22+
$F34*Y$48*$C$23*(1+$C$35+$C$36)+
(Y$49+Y$50)*$C$24+
Y$51*$C$25+
Y$52*$C$26+
Y$53*$C$28</f>
        <v>6.7897935101028031</v>
      </c>
      <c r="Z60" s="239">
        <f>Commodity!X37*(1+$C$35+$C$36)*$C$22+
$F34*Z$48*$C$23*(1+$C$35+$C$36)+
(Z$49+Z$50)*$C$24+
Z$51*$C$25+
Z$52*$C$26+
Z$53*$C$28</f>
        <v>6.9310168502430738</v>
      </c>
      <c r="AA60" s="239">
        <f>Commodity!Y37*(1+$C$35+$C$36)*$C$22+
$F34*AA$48*$C$23*(1+$C$35+$C$36)+
(AA$49+AA$50)*$C$24+
AA$51*$C$25+
AA$52*$C$26+
AA$53*$C$28</f>
        <v>7.0749513464146272</v>
      </c>
      <c r="AB60" s="239">
        <f>Commodity!Z37*(1+$C$35+$C$36)*$C$22+
$F34*AB$48*$C$23*(1+$C$35+$C$36)+
(AB$49+AB$50)*$C$24+
AB$51*$C$25+
AB$52*$C$26+
AB$53*$C$28</f>
        <v>7.221555593690276</v>
      </c>
      <c r="AC60" s="239">
        <f>Commodity!AA37*(1+$C$35+$C$36)*$C$22+
$F34*AC$48*$C$23*(1+$C$35+$C$36)+
(AC$49+AC$50)*$C$24+
AC$51*$C$25+
AC$52*$C$26+
AC$53*$C$28</f>
        <v>7.3708535281406196</v>
      </c>
      <c r="AD60" s="239">
        <f>Commodity!AB37*(1+$C$35+$C$36)*$C$22+
$F34*AD$48*$C$23*(1+$C$35+$C$36)+
(AD$49+AD$50)*$C$24+
AD$51*$C$25+
AD$52*$C$26+
AD$53*$C$28</f>
        <v>7.5207638996870196</v>
      </c>
      <c r="AE60" s="239">
        <f>Commodity!AC37*(1+$C$35+$C$36)*$C$22+
$F34*AE$48*$C$23*(1+$C$35+$C$36)+
(AE$49+AE$50)*$C$24+
AE$51*$C$25+
AE$52*$C$26+
AE$53*$C$28</f>
        <v>7.6742534994676408</v>
      </c>
      <c r="AF60" s="239">
        <f>Commodity!AD37*(1+$C$35+$C$36)*$C$22+
$F34*AF$48*$C$23*(1+$C$35+$C$36)+
(AF$49+AF$50)*$C$24+
AF$51*$C$25+
AF$52*$C$26+
AF$53*$C$28</f>
        <v>7.83006399097901</v>
      </c>
      <c r="AG60" s="239">
        <f>Commodity!AE37*(1+$C$35+$C$36)*$C$22+
$F34*AG$48*$C$23*(1+$C$35+$C$36)+
(AG$49+AG$50)*$C$24+
AG$51*$C$25+
AG$52*$C$26+
AG$53*$C$28</f>
        <v>7.9882962480969795</v>
      </c>
      <c r="AH60" s="239">
        <f>Commodity!AF37*(1+$C$35+$C$36)*$C$22+
$F34*AH$48*$C$23*(1+$C$35+$C$36)+
(AH$49+AH$50)*$C$24+
AH$51*$C$25+
AH$52*$C$26+
AH$53*$C$28</f>
        <v>8.1489229198808601</v>
      </c>
    </row>
    <row r="61" spans="1:35" ht="15" customHeight="1">
      <c r="B61" s="67" t="s">
        <v>56</v>
      </c>
      <c r="C61" s="239">
        <f t="shared" ca="1" si="2"/>
        <v>4.4154243567160192</v>
      </c>
      <c r="E61" s="239">
        <f>Commodity!C38*(1+$C$35+$C$36)*$C$22+
$F35*E$48*$C$23*(1+$C$35+$C$36)+
(E$49+E$50)*$C$24+
E$51*$C$25+
E$52*$C$26+
E$53*$C$28</f>
        <v>2.3586085170781033</v>
      </c>
      <c r="F61" s="239">
        <f>Commodity!D38*(1+$C$35+$C$36)*$C$22+
$F35*F$48*$C$23*(1+$C$35+$C$36)+
(F$49+F$50)*$C$24+
F$51*$C$25+
F$52*$C$26+
F$53*$C$28</f>
        <v>3.243357970553769</v>
      </c>
      <c r="G61" s="239">
        <f>Commodity!E38*(1+$C$35+$C$36)*$C$22+
$F35*G$48*$C$23*(1+$C$35+$C$36)+
(G$49+G$50)*$C$24+
G$51*$C$25+
G$52*$C$26+
G$53*$C$28</f>
        <v>4.1502678223204983</v>
      </c>
      <c r="H61" s="239">
        <f>Commodity!F38*(1+$C$35+$C$36)*$C$22+
$F35*H$48*$C$23*(1+$C$35+$C$36)+
(H$49+H$50)*$C$24+
H$51*$C$25+
H$52*$C$26+
H$53*$C$28</f>
        <v>4.4176122689353976</v>
      </c>
      <c r="I61" s="239">
        <f>Commodity!G38*(1+$C$35+$C$36)*$C$22+
$F35*I$48*$C$23*(1+$C$35+$C$36)+
(I$49+I$50)*$C$24+
I$51*$C$25+
I$52*$C$26+
I$53*$C$28</f>
        <v>4.6867371472271637</v>
      </c>
      <c r="J61" s="239">
        <f>Commodity!H38*(1+$C$35+$C$36)*$C$22+
$F35*J$48*$C$23*(1+$C$35+$C$36)+
(J$49+J$50)*$C$24+
J$51*$C$25+
J$52*$C$26+
J$53*$C$28</f>
        <v>4.9575010746732762</v>
      </c>
      <c r="K61" s="239">
        <f>Commodity!I38*(1+$C$35+$C$36)*$C$22+
$F35*K$48*$C$23*(1+$C$35+$C$36)+
(K$49+K$50)*$C$24+
K$51*$C$25+
K$52*$C$26+
K$53*$C$28</f>
        <v>4.826704809220451</v>
      </c>
      <c r="L61" s="239">
        <f>Commodity!J38*(1+$C$35+$C$36)*$C$22+
$F35*L$48*$C$23*(1+$C$35+$C$36)+
(L$49+L$50)*$C$24+
L$51*$C$25+
L$52*$C$26+
L$53*$C$28</f>
        <v>4.697908073135368</v>
      </c>
      <c r="M61" s="239">
        <f>Commodity!K38*(1+$C$35+$C$36)*$C$22+
$F35*M$48*$C$23*(1+$C$35+$C$36)+
(M$49+M$50)*$C$24+
M$51*$C$25+
M$52*$C$26+
M$53*$C$28</f>
        <v>4.5710809661939891</v>
      </c>
      <c r="N61" s="239">
        <f>Commodity!L38*(1+$C$35+$C$36)*$C$22+
$F35*N$48*$C$23*(1+$C$35+$C$36)+
(N$49+N$50)*$C$24+
N$51*$C$25+
N$52*$C$26+
N$53*$C$28</f>
        <v>4.4465423706792206</v>
      </c>
      <c r="O61" s="239">
        <f>Commodity!M38*(1+$C$35+$C$36)*$C$22+
$F35*O$48*$C$23*(1+$C$35+$C$36)+
(O$49+O$50)*$C$24+
O$51*$C$25+
O$52*$C$26+
O$53*$C$28</f>
        <v>4.3240061497467668</v>
      </c>
      <c r="P61" s="239">
        <f>Commodity!N38*(1+$C$35+$C$36)*$C$22+
$F35*P$48*$C$23*(1+$C$35+$C$36)+
(P$49+P$50)*$C$24+
P$51*$C$25+
P$52*$C$26+
P$53*$C$28</f>
        <v>4.4540169608652116</v>
      </c>
      <c r="Q61" s="239">
        <f>Commodity!O38*(1+$C$35+$C$36)*$C$22+
$F35*Q$48*$C$23*(1+$C$35+$C$36)+
(Q$49+Q$50)*$C$24+
Q$51*$C$25+
Q$52*$C$26+
Q$53*$C$28</f>
        <v>4.5869391441525824</v>
      </c>
      <c r="R61" s="239">
        <f>Commodity!P38*(1+$C$35+$C$36)*$C$22+
$F35*R$48*$C$23*(1+$C$35+$C$36)+
(R$49+R$50)*$C$24+
R$51*$C$25+
R$52*$C$26+
R$53*$C$28</f>
        <v>4.7226919605453235</v>
      </c>
      <c r="S61" s="239">
        <f>Commodity!Q38*(1+$C$35+$C$36)*$C$22+
$F35*S$48*$C$23*(1+$C$35+$C$36)+
(S$49+S$50)*$C$24+
S$51*$C$25+
S$52*$C$26+
S$53*$C$28</f>
        <v>4.8614516329313471</v>
      </c>
      <c r="T61" s="239">
        <f>Commodity!R38*(1+$C$35+$C$36)*$C$22+
$F35*T$48*$C$23*(1+$C$35+$C$36)+
(T$49+T$50)*$C$24+
T$51*$C$25+
T$52*$C$26+
T$53*$C$28</f>
        <v>5.0034367185472153</v>
      </c>
      <c r="U61" s="239">
        <f>Commodity!S38*(1+$C$35+$C$36)*$C$22+
$F35*U$48*$C$23*(1+$C$35+$C$36)+
(U$49+U$50)*$C$24+
U$51*$C$25+
U$52*$C$26+
U$53*$C$28</f>
        <v>5.3914154569205177</v>
      </c>
      <c r="V61" s="239">
        <f>Commodity!T38*(1+$C$35+$C$36)*$C$22+
$F35*V$48*$C$23*(1+$C$35+$C$36)+
(V$49+V$50)*$C$24+
V$51*$C$25+
V$52*$C$26+
V$53*$C$28</f>
        <v>5.782876953047845</v>
      </c>
      <c r="W61" s="239">
        <f>Commodity!U38*(1+$C$35+$C$36)*$C$22+
$F35*W$48*$C$23*(1+$C$35+$C$36)+
(W$49+W$50)*$C$24+
W$51*$C$25+
W$52*$C$26+
W$53*$C$28</f>
        <v>6.1779285104481128</v>
      </c>
      <c r="X61" s="239">
        <f>Commodity!V38*(1+$C$35+$C$36)*$C$22+
$F35*X$48*$C$23*(1+$C$35+$C$36)+
(X$49+X$50)*$C$24+
X$51*$C$25+
X$52*$C$26+
X$53*$C$28</f>
        <v>6.5768947456136617</v>
      </c>
      <c r="Y61" s="239">
        <f>Commodity!W38*(1+$C$35+$C$36)*$C$22+
$F35*Y$48*$C$23*(1+$C$35+$C$36)+
(Y$49+Y$50)*$C$24+
Y$51*$C$25+
Y$52*$C$26+
Y$53*$C$28</f>
        <v>6.7138591821297142</v>
      </c>
      <c r="Z61" s="239">
        <f>Commodity!X38*(1+$C$35+$C$36)*$C$22+
$F35*Z$48*$C$23*(1+$C$35+$C$36)+
(Z$49+Z$50)*$C$24+
Z$51*$C$25+
Z$52*$C$26+
Z$53*$C$28</f>
        <v>6.8534093863009415</v>
      </c>
      <c r="AA61" s="239">
        <f>Commodity!Y38*(1+$C$35+$C$36)*$C$22+
$F35*AA$48*$C$23*(1+$C$35+$C$36)+
(AA$49+AA$50)*$C$24+
AA$51*$C$25+
AA$52*$C$26+
AA$53*$C$28</f>
        <v>6.9956248406231314</v>
      </c>
      <c r="AB61" s="239">
        <f>Commodity!Z38*(1+$C$35+$C$36)*$C$22+
$F35*AB$48*$C$23*(1+$C$35+$C$36)+
(AB$49+AB$50)*$C$24+
AB$51*$C$25+
AB$52*$C$26+
AB$53*$C$28</f>
        <v>7.1404739795207535</v>
      </c>
      <c r="AC61" s="239">
        <f>Commodity!AA38*(1+$C$35+$C$36)*$C$22+
$F35*AC$48*$C$23*(1+$C$35+$C$36)+
(AC$49+AC$50)*$C$24+
AC$51*$C$25+
AC$52*$C$26+
AC$53*$C$28</f>
        <v>7.2879796881046879</v>
      </c>
      <c r="AD61" s="239">
        <f>Commodity!AB38*(1+$C$35+$C$36)*$C$22+
$F35*AD$48*$C$23*(1+$C$35+$C$36)+
(AD$49+AD$50)*$C$24+
AD$51*$C$25+
AD$52*$C$26+
AD$53*$C$28</f>
        <v>7.4362392884536579</v>
      </c>
      <c r="AE61" s="239">
        <f>Commodity!AC38*(1+$C$35+$C$36)*$C$22+
$F35*AE$48*$C$23*(1+$C$35+$C$36)+
(AE$49+AE$50)*$C$24+
AE$51*$C$25+
AE$52*$C$26+
AE$53*$C$28</f>
        <v>7.5879734104867502</v>
      </c>
      <c r="AF61" s="239">
        <f>Commodity!AD38*(1+$C$35+$C$36)*$C$22+
$F35*AF$48*$C$23*(1+$C$35+$C$36)+
(AF$49+AF$50)*$C$24+
AF$51*$C$25+
AF$52*$C$26+
AF$53*$C$28</f>
        <v>7.7420469982522038</v>
      </c>
      <c r="AG61" s="239">
        <f>Commodity!AE38*(1+$C$35+$C$36)*$C$22+
$F35*AG$48*$C$23*(1+$C$35+$C$36)+
(AG$49+AG$50)*$C$24+
AG$51*$C$25+
AG$52*$C$26+
AG$53*$C$28</f>
        <v>7.8985368556744318</v>
      </c>
      <c r="AH61" s="239">
        <f>Commodity!AF38*(1+$C$35+$C$36)*$C$22+
$F35*AH$48*$C$23*(1+$C$35+$C$36)+
(AH$49+AH$50)*$C$24+
AH$51*$C$25+
AH$52*$C$26+
AH$53*$C$28</f>
        <v>8.0574254530560125</v>
      </c>
    </row>
    <row r="62" spans="1:35" ht="15" customHeight="1">
      <c r="B62" s="67" t="s">
        <v>58</v>
      </c>
      <c r="C62" s="239">
        <f t="shared" ca="1" si="2"/>
        <v>3.4476300468749805</v>
      </c>
      <c r="E62" s="239">
        <f>Commodity!C39*(1+$C$35+$C$36)*$C$22+
$F36*E$48*$C$23*(1+$C$35+$C$36)+
(E$49+E$50)*$C$24+
E$51*$C$25+
E$52*$C$26+
E$53*$C$28</f>
        <v>1.5046829444660628</v>
      </c>
      <c r="F62" s="239">
        <f>Commodity!D39*(1+$C$35+$C$36)*$C$22+
$F36*F$48*$C$23*(1+$C$35+$C$36)+
(F$49+F$50)*$C$24+
F$51*$C$25+
F$52*$C$26+
F$53*$C$28</f>
        <v>2.393739089614987</v>
      </c>
      <c r="G62" s="239">
        <f>Commodity!E39*(1+$C$35+$C$36)*$C$22+
$F36*G$48*$C$23*(1+$C$35+$C$36)+
(G$49+G$50)*$C$24+
G$51*$C$25+
G$52*$C$26+
G$53*$C$28</f>
        <v>3.2836675344246515</v>
      </c>
      <c r="H62" s="239">
        <f>Commodity!F39*(1+$C$35+$C$36)*$C$22+
$F36*H$48*$C$23*(1+$C$35+$C$36)+
(H$49+H$50)*$C$24+
H$51*$C$25+
H$52*$C$26+
H$53*$C$28</f>
        <v>3.5336837996792232</v>
      </c>
      <c r="I62" s="239">
        <f>Commodity!G39*(1+$C$35+$C$36)*$C$22+
$F36*I$48*$C$23*(1+$C$35+$C$36)+
(I$49+I$50)*$C$24+
I$51*$C$25+
I$52*$C$26+
I$53*$C$28</f>
        <v>3.785120128812014</v>
      </c>
      <c r="J62" s="239">
        <f>Commodity!H39*(1+$C$35+$C$36)*$C$22+
$F36*J$48*$C$23*(1+$C$35+$C$36)+
(J$49+J$50)*$C$24+
J$51*$C$25+
J$52*$C$26+
J$53*$C$28</f>
        <v>4.0378480268353494</v>
      </c>
      <c r="K62" s="239">
        <f>Commodity!I39*(1+$C$35+$C$36)*$C$22+
$F36*K$48*$C$23*(1+$C$35+$C$36)+
(K$49+K$50)*$C$24+
K$51*$C$25+
K$52*$C$26+
K$53*$C$28</f>
        <v>3.888666109080738</v>
      </c>
      <c r="L62" s="239">
        <f>Commodity!J39*(1+$C$35+$C$36)*$C$22+
$F36*L$48*$C$23*(1+$C$35+$C$36)+
(L$49+L$50)*$C$24+
L$51*$C$25+
L$52*$C$26+
L$53*$C$28</f>
        <v>3.7410784662037937</v>
      </c>
      <c r="M62" s="239">
        <f>Commodity!K39*(1+$C$35+$C$36)*$C$22+
$F36*M$48*$C$23*(1+$C$35+$C$36)+
(M$49+M$50)*$C$24+
M$51*$C$25+
M$52*$C$26+
M$53*$C$28</f>
        <v>3.5951313823096731</v>
      </c>
      <c r="N62" s="239">
        <f>Commodity!L39*(1+$C$35+$C$36)*$C$22+
$F36*N$48*$C$23*(1+$C$35+$C$36)+
(N$49+N$50)*$C$24+
N$51*$C$25+
N$52*$C$26+
N$53*$C$28</f>
        <v>3.4510144342337501</v>
      </c>
      <c r="O62" s="239">
        <f>Commodity!M39*(1+$C$35+$C$36)*$C$22+
$F36*O$48*$C$23*(1+$C$35+$C$36)+
(O$49+O$50)*$C$24+
O$51*$C$25+
O$52*$C$26+
O$53*$C$28</f>
        <v>3.3085642260344961</v>
      </c>
      <c r="P62" s="239">
        <f>Commodity!N39*(1+$C$35+$C$36)*$C$22+
$F36*P$48*$C$23*(1+$C$35+$C$36)+
(P$49+P$50)*$C$24+
P$51*$C$25+
P$52*$C$26+
P$53*$C$28</f>
        <v>3.4182783119472417</v>
      </c>
      <c r="Q62" s="239">
        <f>Commodity!O39*(1+$C$35+$C$36)*$C$22+
$F36*Q$48*$C$23*(1+$C$35+$C$36)+
(Q$49+Q$50)*$C$24+
Q$51*$C$25+
Q$52*$C$26+
Q$53*$C$28</f>
        <v>3.5304692935877973</v>
      </c>
      <c r="R62" s="239">
        <f>Commodity!P39*(1+$C$35+$C$36)*$C$22+
$F36*R$48*$C$23*(1+$C$35+$C$36)+
(R$49+R$50)*$C$24+
R$51*$C$25+
R$52*$C$26+
R$53*$C$28</f>
        <v>3.6450731179615095</v>
      </c>
      <c r="S62" s="239">
        <f>Commodity!Q39*(1+$C$35+$C$36)*$C$22+
$F36*S$48*$C$23*(1+$C$35+$C$36)+
(S$49+S$50)*$C$24+
S$51*$C$25+
S$52*$C$26+
S$53*$C$28</f>
        <v>3.7622398340379273</v>
      </c>
      <c r="T62" s="239">
        <f>Commodity!R39*(1+$C$35+$C$36)*$C$22+
$F36*T$48*$C$23*(1+$C$35+$C$36)+
(T$49+T$50)*$C$24+
T$51*$C$25+
T$52*$C$26+
T$53*$C$28</f>
        <v>3.8822208692197795</v>
      </c>
      <c r="U62" s="239">
        <f>Commodity!S39*(1+$C$35+$C$36)*$C$22+
$F36*U$48*$C$23*(1+$C$35+$C$36)+
(U$49+U$50)*$C$24+
U$51*$C$25+
U$52*$C$26+
U$53*$C$28</f>
        <v>4.2477525371933984</v>
      </c>
      <c r="V62" s="239">
        <f>Commodity!T39*(1+$C$35+$C$36)*$C$22+
$F36*V$48*$C$23*(1+$C$35+$C$36)+
(V$49+V$50)*$C$24+
V$51*$C$25+
V$52*$C$26+
V$53*$C$28</f>
        <v>4.6163178067257151</v>
      </c>
      <c r="W62" s="239">
        <f>Commodity!U39*(1+$C$35+$C$36)*$C$22+
$F36*W$48*$C$23*(1+$C$35+$C$36)+
(W$49+W$50)*$C$24+
W$51*$C$25+
W$52*$C$26+
W$53*$C$28</f>
        <v>4.9880119822495175</v>
      </c>
      <c r="X62" s="239">
        <f>Commodity!V39*(1+$C$35+$C$36)*$C$22+
$F36*X$48*$C$23*(1+$C$35+$C$36)+
(X$49+X$50)*$C$24+
X$51*$C$25+
X$52*$C$26+
X$53*$C$28</f>
        <v>5.3631559472863461</v>
      </c>
      <c r="Y62" s="239">
        <f>Commodity!W39*(1+$C$35+$C$36)*$C$22+
$F36*Y$48*$C$23*(1+$C$35+$C$36)+
(Y$49+Y$50)*$C$24+
Y$51*$C$25+
Y$52*$C$26+
Y$53*$C$28</f>
        <v>5.4758174585559392</v>
      </c>
      <c r="Z62" s="239">
        <f>Commodity!X39*(1+$C$35+$C$36)*$C$22+
$F36*Z$48*$C$23*(1+$C$35+$C$36)+
(Z$49+Z$50)*$C$24+
Z$51*$C$25+
Z$52*$C$26+
Z$53*$C$28</f>
        <v>5.5905802607111541</v>
      </c>
      <c r="AA62" s="239">
        <f>Commodity!Y39*(1+$C$35+$C$36)*$C$22+
$F36*AA$48*$C$23*(1+$C$35+$C$36)+
(AA$49+AA$50)*$C$24+
AA$51*$C$25+
AA$52*$C$26+
AA$53*$C$28</f>
        <v>5.7075087194575742</v>
      </c>
      <c r="AB62" s="239">
        <f>Commodity!Z39*(1+$C$35+$C$36)*$C$22+
$F36*AB$48*$C$23*(1+$C$35+$C$36)+
(AB$49+AB$50)*$C$24+
AB$51*$C$25+
AB$52*$C$26+
AB$53*$C$28</f>
        <v>5.8265655883019338</v>
      </c>
      <c r="AC62" s="239">
        <f>Commodity!AA39*(1+$C$35+$C$36)*$C$22+
$F36*AC$48*$C$23*(1+$C$35+$C$36)+
(AC$49+AC$50)*$C$24+
AC$51*$C$25+
AC$52*$C$26+
AC$53*$C$28</f>
        <v>5.9477614550332802</v>
      </c>
      <c r="AD62" s="239">
        <f>Commodity!AB39*(1+$C$35+$C$36)*$C$22+
$F36*AD$48*$C$23*(1+$C$35+$C$36)+
(AD$49+AD$50)*$C$24+
AD$51*$C$25+
AD$52*$C$26+
AD$53*$C$28</f>
        <v>6.0692207375276119</v>
      </c>
      <c r="AE62" s="239">
        <f>Commodity!AC39*(1+$C$35+$C$36)*$C$22+
$F36*AE$48*$C$23*(1+$C$35+$C$36)+
(AE$49+AE$50)*$C$24+
AE$51*$C$25+
AE$52*$C$26+
AE$53*$C$28</f>
        <v>6.193601608160451</v>
      </c>
      <c r="AF62" s="239">
        <f>Commodity!AD39*(1+$C$35+$C$36)*$C$22+
$F36*AF$48*$C$23*(1+$C$35+$C$36)+
(AF$49+AF$50)*$C$24+
AF$51*$C$25+
AF$52*$C$26+
AF$53*$C$28</f>
        <v>6.3197944964783659</v>
      </c>
      <c r="AG62" s="239">
        <f>Commodity!AE39*(1+$C$35+$C$36)*$C$22+
$F36*AG$48*$C$23*(1+$C$35+$C$36)+
(AG$49+AG$50)*$C$24+
AG$51*$C$25+
AG$52*$C$26+
AG$53*$C$28</f>
        <v>6.4478455088214632</v>
      </c>
      <c r="AH62" s="239">
        <f>Commodity!AF39*(1+$C$35+$C$36)*$C$22+
$F36*AH$48*$C$23*(1+$C$35+$C$36)+
(AH$49+AH$50)*$C$24+
AH$51*$C$25+
AH$52*$C$26+
AH$53*$C$28</f>
        <v>6.5777307270850134</v>
      </c>
    </row>
    <row r="63" spans="1:35" ht="15" customHeight="1">
      <c r="B63" s="67" t="s">
        <v>59</v>
      </c>
      <c r="C63" s="239">
        <f t="shared" ca="1" si="2"/>
        <v>3.4698964737067786</v>
      </c>
      <c r="E63" s="239">
        <f>Commodity!C40*(1+$C$35+$C$36)*$C$22+
$F37*E$48*$C$23*(1+$C$35+$C$36)+
(E$49+E$50)*$C$24+
E$51*$C$25+
E$52*$C$26+
E$53*$C$28</f>
        <v>1.5237708604073545</v>
      </c>
      <c r="F63" s="239">
        <f>Commodity!D40*(1+$C$35+$C$36)*$C$22+
$F37*F$48*$C$23*(1+$C$35+$C$36)+
(F$49+F$50)*$C$24+
F$51*$C$25+
F$52*$C$26+
F$53*$C$28</f>
        <v>2.4132120419954286</v>
      </c>
      <c r="G63" s="239">
        <f>Commodity!E40*(1+$C$35+$C$36)*$C$22+
$F37*G$48*$C$23*(1+$C$35+$C$36)+
(G$49+G$50)*$C$24+
G$51*$C$25+
G$52*$C$26+
G$53*$C$28</f>
        <v>3.3035481431841252</v>
      </c>
      <c r="H63" s="239">
        <f>Commodity!F40*(1+$C$35+$C$36)*$C$22+
$F37*H$48*$C$23*(1+$C$35+$C$36)+
(H$49+H$50)*$C$24+
H$51*$C$25+
H$52*$C$26+
H$53*$C$28</f>
        <v>3.5539752310902895</v>
      </c>
      <c r="I63" s="239">
        <f>Commodity!G40*(1+$C$35+$C$36)*$C$22+
$F37*I$48*$C$23*(1+$C$35+$C$36)+
(I$49+I$50)*$C$24+
I$51*$C$25+
I$52*$C$26+
I$53*$C$28</f>
        <v>3.8058169866036855</v>
      </c>
      <c r="J63" s="239">
        <f>Commodity!H40*(1+$C$35+$C$36)*$C$22+
$F37*J$48*$C$23*(1+$C$35+$C$36)+
(J$49+J$50)*$C$24+
J$51*$C$25+
J$52*$C$26+
J$53*$C$28</f>
        <v>4.0589626208262901</v>
      </c>
      <c r="K63" s="239">
        <f>Commodity!I40*(1+$C$35+$C$36)*$C$22+
$F37*K$48*$C$23*(1+$C$35+$C$36)+
(K$49+K$50)*$C$24+
K$51*$C$25+
K$52*$C$26+
K$53*$C$28</f>
        <v>3.9102270943425377</v>
      </c>
      <c r="L63" s="239">
        <f>Commodity!J40*(1+$C$35+$C$36)*$C$22+
$F37*L$48*$C$23*(1+$C$35+$C$36)+
(L$49+L$50)*$C$24+
L$51*$C$25+
L$52*$C$26+
L$53*$C$28</f>
        <v>3.7630661135322119</v>
      </c>
      <c r="M63" s="239">
        <f>Commodity!K40*(1+$C$35+$C$36)*$C$22+
$F37*M$48*$C$23*(1+$C$35+$C$36)+
(M$49+M$50)*$C$24+
M$51*$C$25+
M$52*$C$26+
M$53*$C$28</f>
        <v>3.6176066638683868</v>
      </c>
      <c r="N63" s="239">
        <f>Commodity!L40*(1+$C$35+$C$36)*$C$22+
$F37*N$48*$C$23*(1+$C$35+$C$36)+
(N$49+N$50)*$C$24+
N$51*$C$25+
N$52*$C$26+
N$53*$C$28</f>
        <v>3.4739171100337893</v>
      </c>
      <c r="O63" s="239">
        <f>Commodity!M40*(1+$C$35+$C$36)*$C$22+
$F37*O$48*$C$23*(1+$C$35+$C$36)+
(O$49+O$50)*$C$24+
O$51*$C$25+
O$52*$C$26+
O$53*$C$28</f>
        <v>3.331948906352673</v>
      </c>
      <c r="P63" s="239">
        <f>Commodity!N40*(1+$C$35+$C$36)*$C$22+
$F37*P$48*$C$23*(1+$C$35+$C$36)+
(P$49+P$50)*$C$24+
P$51*$C$25+
P$52*$C$26+
P$53*$C$28</f>
        <v>3.4421844334477107</v>
      </c>
      <c r="Q63" s="239">
        <f>Commodity!O40*(1+$C$35+$C$36)*$C$22+
$F37*Q$48*$C$23*(1+$C$35+$C$36)+
(Q$49+Q$50)*$C$24+
Q$51*$C$25+
Q$52*$C$26+
Q$53*$C$28</f>
        <v>3.5548978560320923</v>
      </c>
      <c r="R63" s="239">
        <f>Commodity!P40*(1+$C$35+$C$36)*$C$22+
$F37*R$48*$C$23*(1+$C$35+$C$36)+
(R$49+R$50)*$C$24+
R$51*$C$25+
R$52*$C$26+
R$53*$C$28</f>
        <v>3.6700414759275053</v>
      </c>
      <c r="S63" s="239">
        <f>Commodity!Q40*(1+$C$35+$C$36)*$C$22+
$F37*S$48*$C$23*(1+$C$35+$C$36)+
(S$49+S$50)*$C$24+
S$51*$C$25+
S$52*$C$26+
S$53*$C$28</f>
        <v>3.7877428104615474</v>
      </c>
      <c r="T63" s="239">
        <f>Commodity!R40*(1+$C$35+$C$36)*$C$22+
$F37*T$48*$C$23*(1+$C$35+$C$36)+
(T$49+T$50)*$C$24+
T$51*$C$25+
T$52*$C$26+
T$53*$C$28</f>
        <v>3.9082871511226136</v>
      </c>
      <c r="U63" s="239">
        <f>Commodity!S40*(1+$C$35+$C$36)*$C$22+
$F37*U$48*$C$23*(1+$C$35+$C$36)+
(U$49+U$50)*$C$24+
U$51*$C$25+
U$52*$C$26+
U$53*$C$28</f>
        <v>4.2743905733476169</v>
      </c>
      <c r="V63" s="239">
        <f>Commodity!T40*(1+$C$35+$C$36)*$C$22+
$F37*V$48*$C$23*(1+$C$35+$C$36)+
(V$49+V$50)*$C$24+
V$51*$C$25+
V$52*$C$26+
V$53*$C$28</f>
        <v>4.6435429376666031</v>
      </c>
      <c r="W63" s="239">
        <f>Commodity!U40*(1+$C$35+$C$36)*$C$22+
$F37*W$48*$C$23*(1+$C$35+$C$36)+
(W$49+W$50)*$C$24+
W$51*$C$25+
W$52*$C$26+
W$53*$C$28</f>
        <v>5.0158367154424663</v>
      </c>
      <c r="X63" s="239">
        <f>Commodity!V40*(1+$C$35+$C$36)*$C$22+
$F37*X$48*$C$23*(1+$C$35+$C$36)+
(X$49+X$50)*$C$24+
X$51*$C$25+
X$52*$C$26+
X$53*$C$28</f>
        <v>5.3915953403041472</v>
      </c>
      <c r="Y63" s="239">
        <f>Commodity!W40*(1+$C$35+$C$36)*$C$22+
$F37*Y$48*$C$23*(1+$C$35+$C$36)+
(Y$49+Y$50)*$C$24+
Y$51*$C$25+
Y$52*$C$26+
Y$53*$C$28</f>
        <v>5.5048838785969911</v>
      </c>
      <c r="Z63" s="239">
        <f>Commodity!X40*(1+$C$35+$C$36)*$C$22+
$F37*Z$48*$C$23*(1+$C$35+$C$36)+
(Z$49+Z$50)*$C$24+
Z$51*$C$25+
Z$52*$C$26+
Z$53*$C$28</f>
        <v>5.6202925705815883</v>
      </c>
      <c r="AA63" s="239">
        <f>Commodity!Y40*(1+$C$35+$C$36)*$C$22+
$F37*AA$48*$C$23*(1+$C$35+$C$36)+
(AA$49+AA$50)*$C$24+
AA$51*$C$25+
AA$52*$C$26+
AA$53*$C$28</f>
        <v>5.7378818090616601</v>
      </c>
      <c r="AB63" s="239">
        <f>Commodity!Z40*(1+$C$35+$C$36)*$C$22+
$F37*AB$48*$C$23*(1+$C$35+$C$36)+
(AB$49+AB$50)*$C$24+
AB$51*$C$25+
AB$52*$C$26+
AB$53*$C$28</f>
        <v>5.857614808493004</v>
      </c>
      <c r="AC63" s="239">
        <f>Commodity!AA40*(1+$C$35+$C$36)*$C$22+
$F37*AC$48*$C$23*(1+$C$35+$C$36)+
(AC$49+AC$50)*$C$24+
AC$51*$C$25+
AC$52*$C$26+
AC$53*$C$28</f>
        <v>5.9794985578155933</v>
      </c>
      <c r="AD63" s="239">
        <f>Commodity!AB40*(1+$C$35+$C$36)*$C$22+
$F37*AD$48*$C$23*(1+$C$35+$C$36)+
(AD$49+AD$50)*$C$24+
AD$51*$C$25+
AD$52*$C$26+
AD$53*$C$28</f>
        <v>6.1015952589663307</v>
      </c>
      <c r="AE63" s="239">
        <f>Commodity!AC40*(1+$C$35+$C$36)*$C$22+
$F37*AE$48*$C$23*(1+$C$35+$C$36)+
(AE$49+AE$50)*$C$24+
AE$51*$C$25+
AE$52*$C$26+
AE$53*$C$28</f>
        <v>6.2266475614165913</v>
      </c>
      <c r="AF63" s="239">
        <f>Commodity!AD40*(1+$C$35+$C$36)*$C$22+
$F37*AF$48*$C$23*(1+$C$35+$C$36)+
(AF$49+AF$50)*$C$24+
AF$51*$C$25+
AF$52*$C$26+
AF$53*$C$28</f>
        <v>6.3535225332302785</v>
      </c>
      <c r="AG63" s="239">
        <f>Commodity!AE40*(1+$C$35+$C$36)*$C$22+
$F37*AG$48*$C$23*(1+$C$35+$C$36)+
(AG$49+AG$50)*$C$24+
AG$51*$C$25+
AG$52*$C$26+
AG$53*$C$28</f>
        <v>6.4822465140874943</v>
      </c>
      <c r="AH63" s="239">
        <f>Commodity!AF40*(1+$C$35+$C$36)*$C$22+
$F37*AH$48*$C$23*(1+$C$35+$C$36)+
(AH$49+AH$50)*$C$24+
AH$51*$C$25+
AH$52*$C$26+
AH$53*$C$28</f>
        <v>6.6127970592333556</v>
      </c>
    </row>
    <row r="64" spans="1:35" ht="15" customHeight="1">
      <c r="B64" s="67" t="s">
        <v>60</v>
      </c>
      <c r="C64" s="239">
        <f t="shared" ca="1" si="2"/>
        <v>3.4870071552521127</v>
      </c>
      <c r="E64" s="239">
        <f>Commodity!C41*(1+$C$35+$C$36)*$C$22+
$F38*E$48*$C$23*(1+$C$35+$C$36)+
(E$49+E$50)*$C$24+
E$51*$C$25+
E$52*$C$26+
E$53*$C$28</f>
        <v>1.538437680992488</v>
      </c>
      <c r="F64" s="239">
        <f>Commodity!D41*(1+$C$35+$C$36)*$C$22+
$F38*F$48*$C$23*(1+$C$35+$C$36)+
(F$49+F$50)*$C$24+
F$51*$C$25+
F$52*$C$26+
F$53*$C$28</f>
        <v>2.4281727873982315</v>
      </c>
      <c r="G64" s="239">
        <f>Commodity!E41*(1+$C$35+$C$36)*$C$22+
$F38*G$48*$C$23*(1+$C$35+$C$36)+
(G$49+G$50)*$C$24+
G$51*$C$25+
G$52*$C$26+
G$53*$C$28</f>
        <v>3.3188259202888819</v>
      </c>
      <c r="H64" s="239">
        <f>Commodity!F41*(1+$C$35+$C$36)*$C$22+
$F38*H$48*$C$23*(1+$C$35+$C$36)+
(H$49+H$50)*$C$24+
H$51*$C$25+
H$52*$C$26+
H$53*$C$28</f>
        <v>3.569570706224158</v>
      </c>
      <c r="I64" s="239">
        <f>Commodity!G41*(1+$C$35+$C$36)*$C$22+
$F38*I$48*$C$23*(1+$C$35+$C$36)+
(I$49+I$50)*$C$24+
I$51*$C$25+
I$52*$C$26+
I$53*$C$28</f>
        <v>3.8217221151671219</v>
      </c>
      <c r="J64" s="239">
        <f>Commodity!H41*(1+$C$35+$C$36)*$C$22+
$F38*J$48*$C$23*(1+$C$35+$C$36)+
(J$49+J$50)*$C$24+
J$51*$C$25+
J$52*$C$26+
J$53*$C$28</f>
        <v>4.0751884280109332</v>
      </c>
      <c r="K64" s="239">
        <f>Commodity!I41*(1+$C$35+$C$36)*$C$22+
$F38*K$48*$C$23*(1+$C$35+$C$36)+
(K$49+K$50)*$C$24+
K$51*$C$25+
K$52*$C$26+
K$53*$C$28</f>
        <v>3.9267996513766872</v>
      </c>
      <c r="L64" s="239">
        <f>Commodity!J41*(1+$C$35+$C$36)*$C$22+
$F38*L$48*$C$23*(1+$C$35+$C$36)+
(L$49+L$50)*$C$24+
L$51*$C$25+
L$52*$C$26+
L$53*$C$28</f>
        <v>3.7799604220171781</v>
      </c>
      <c r="M64" s="239">
        <f>Commodity!K41*(1+$C$35+$C$36)*$C$22+
$F38*M$48*$C$23*(1+$C$35+$C$36)+
(M$49+M$50)*$C$24+
M$51*$C$25+
M$52*$C$26+
M$53*$C$28</f>
        <v>3.634883395523659</v>
      </c>
      <c r="N64" s="239">
        <f>Commodity!L41*(1+$C$35+$C$36)*$C$22+
$F38*N$48*$C$23*(1+$C$35+$C$36)+
(N$49+N$50)*$C$24+
N$51*$C$25+
N$52*$C$26+
N$53*$C$28</f>
        <v>3.4915089240519759</v>
      </c>
      <c r="O64" s="239">
        <f>Commodity!M41*(1+$C$35+$C$36)*$C$22+
$F38*O$48*$C$23*(1+$C$35+$C$36)+
(O$49+O$50)*$C$24+
O$51*$C$25+
O$52*$C$26+
O$53*$C$28</f>
        <v>3.3499125895845383</v>
      </c>
      <c r="P64" s="239">
        <f>Commodity!N41*(1+$C$35+$C$36)*$C$22+
$F38*P$48*$C$23*(1+$C$35+$C$36)+
(P$49+P$50)*$C$24+
P$51*$C$25+
P$52*$C$26+
P$53*$C$28</f>
        <v>3.4605561336048143</v>
      </c>
      <c r="Q64" s="239">
        <f>Commodity!O41*(1+$C$35+$C$36)*$C$22+
$F38*Q$48*$C$23*(1+$C$35+$C$36)+
(Q$49+Q$50)*$C$24+
Q$51*$C$25+
Q$52*$C$26+
Q$53*$C$28</f>
        <v>3.5736721301241614</v>
      </c>
      <c r="R64" s="239">
        <f>Commodity!P41*(1+$C$35+$C$36)*$C$22+
$F38*R$48*$C$23*(1+$C$35+$C$36)+
(R$49+R$50)*$C$24+
R$51*$C$25+
R$52*$C$26+
R$53*$C$28</f>
        <v>3.6892317350013868</v>
      </c>
      <c r="S64" s="239">
        <f>Commodity!Q41*(1+$C$35+$C$36)*$C$22+
$F38*S$48*$C$23*(1+$C$35+$C$36)+
(S$49+S$50)*$C$24+
S$51*$C$25+
S$52*$C$26+
S$53*$C$28</f>
        <v>3.8073395636792999</v>
      </c>
      <c r="T64" s="239">
        <f>Commodity!R41*(1+$C$35+$C$36)*$C$22+
$F38*T$48*$C$23*(1+$C$35+$C$36)+
(T$49+T$50)*$C$24+
T$51*$C$25+
T$52*$C$26+
T$53*$C$28</f>
        <v>3.9283180432406732</v>
      </c>
      <c r="U64" s="239">
        <f>Commodity!S41*(1+$C$35+$C$36)*$C$22+
$F38*U$48*$C$23*(1+$C$35+$C$36)+
(U$49+U$50)*$C$24+
U$51*$C$25+
U$52*$C$26+
U$53*$C$28</f>
        <v>4.2948612914853781</v>
      </c>
      <c r="V64" s="239">
        <f>Commodity!T41*(1+$C$35+$C$36)*$C$22+
$F38*V$48*$C$23*(1+$C$35+$C$36)+
(V$49+V$50)*$C$24+
V$51*$C$25+
V$52*$C$26+
V$53*$C$28</f>
        <v>4.6644656107555296</v>
      </c>
      <c r="W64" s="239">
        <f>Commodity!U41*(1+$C$35+$C$36)*$C$22+
$F38*W$48*$C$23*(1+$C$35+$C$36)+
(W$49+W$50)*$C$24+
W$51*$C$25+
W$52*$C$26+
W$53*$C$28</f>
        <v>5.037220425997341</v>
      </c>
      <c r="X64" s="239">
        <f>Commodity!V41*(1+$C$35+$C$36)*$C$22+
$F38*X$48*$C$23*(1+$C$35+$C$36)+
(X$49+X$50)*$C$24+
X$51*$C$25+
X$52*$C$26+
X$53*$C$28</f>
        <v>5.4134523891502297</v>
      </c>
      <c r="Y64" s="239">
        <f>Commodity!W41*(1+$C$35+$C$36)*$C$22+
$F38*Y$48*$C$23*(1+$C$35+$C$36)+
(Y$49+Y$50)*$C$24+
Y$51*$C$25+
Y$52*$C$26+
Y$53*$C$28</f>
        <v>5.5272229913209756</v>
      </c>
      <c r="Z64" s="239">
        <f>Commodity!X41*(1+$C$35+$C$36)*$C$22+
$F38*Z$48*$C$23*(1+$C$35+$C$36)+
(Z$49+Z$50)*$C$24+
Z$51*$C$25+
Z$52*$C$26+
Z$53*$C$28</f>
        <v>5.6431291520751019</v>
      </c>
      <c r="AA64" s="239">
        <f>Commodity!Y41*(1+$C$35+$C$36)*$C$22+
$F38*AA$48*$C$23*(1+$C$35+$C$36)+
(AA$49+AA$50)*$C$24+
AA$51*$C$25+
AA$52*$C$26+
AA$53*$C$28</f>
        <v>5.7612267767375629</v>
      </c>
      <c r="AB64" s="239">
        <f>Commodity!Z41*(1+$C$35+$C$36)*$C$22+
$F38*AB$48*$C$23*(1+$C$35+$C$36)+
(AB$49+AB$50)*$C$24+
AB$51*$C$25+
AB$52*$C$26+
AB$53*$C$28</f>
        <v>5.8814802635034837</v>
      </c>
      <c r="AC64" s="239">
        <f>Commodity!AA41*(1+$C$35+$C$36)*$C$22+
$F38*AC$48*$C$23*(1+$C$35+$C$36)+
(AC$49+AC$50)*$C$24+
AC$51*$C$25+
AC$52*$C$26+
AC$53*$C$28</f>
        <v>6.0038930503034571</v>
      </c>
      <c r="AD64" s="239">
        <f>Commodity!AB41*(1+$C$35+$C$36)*$C$22+
$F38*AD$48*$C$23*(1+$C$35+$C$36)+
(AD$49+AD$50)*$C$24+
AD$51*$C$25+
AD$52*$C$26+
AD$53*$C$28</f>
        <v>6.1264807272701374</v>
      </c>
      <c r="AE64" s="239">
        <f>Commodity!AC41*(1+$C$35+$C$36)*$C$22+
$F38*AE$48*$C$23*(1+$C$35+$C$36)+
(AE$49+AE$50)*$C$24+
AE$51*$C$25+
AE$52*$C$26+
AE$53*$C$28</f>
        <v>6.2520489560658659</v>
      </c>
      <c r="AF64" s="239">
        <f>Commodity!AD41*(1+$C$35+$C$36)*$C$22+
$F38*AF$48*$C$23*(1+$C$35+$C$36)+
(AF$49+AF$50)*$C$24+
AF$51*$C$25+
AF$52*$C$26+
AF$53*$C$28</f>
        <v>6.3794515257593547</v>
      </c>
      <c r="AG64" s="239">
        <f>Commodity!AE41*(1+$C$35+$C$36)*$C$22+
$F38*AG$48*$C$23*(1+$C$35+$C$36)+
(AG$49+AG$50)*$C$24+
AG$51*$C$25+
AG$52*$C$26+
AG$53*$C$28</f>
        <v>6.5086938978105664</v>
      </c>
      <c r="AH64" s="239">
        <f>Commodity!AF41*(1+$C$35+$C$36)*$C$22+
$F38*AH$48*$C$23*(1+$C$35+$C$36)+
(AH$49+AH$50)*$C$24+
AH$51*$C$25+
AH$52*$C$26+
AH$53*$C$28</f>
        <v>6.6397557865807739</v>
      </c>
    </row>
    <row r="65" spans="1:35" ht="15" customHeight="1">
      <c r="B65" s="67" t="s">
        <v>61</v>
      </c>
      <c r="C65" s="239">
        <f t="shared" ca="1" si="2"/>
        <v>3.4923816501063336</v>
      </c>
      <c r="E65" s="239">
        <f>Commodity!C42*(1+$C$35+$C$36)*$C$22+
$F39*E$48*$C$23*(1+$C$35+$C$36)+
(E$49+E$50)*$C$24+
E$51*$C$25+
E$52*$C$26+
E$53*$C$28</f>
        <v>1.5430411806039837</v>
      </c>
      <c r="F65" s="239">
        <f>Commodity!D42*(1+$C$35+$C$36)*$C$22+
$F39*F$48*$C$23*(1+$C$35+$C$36)+
(F$49+F$50)*$C$24+
F$51*$C$25+
F$52*$C$26+
F$53*$C$28</f>
        <v>2.4328636352261461</v>
      </c>
      <c r="G65" s="239">
        <f>Commodity!E42*(1+$C$35+$C$36)*$C$22+
$F39*G$48*$C$23*(1+$C$35+$C$36)+
(G$49+G$50)*$C$24+
G$51*$C$25+
G$52*$C$26+
G$53*$C$28</f>
        <v>3.3236259225581035</v>
      </c>
      <c r="H65" s="239">
        <f>Commodity!F42*(1+$C$35+$C$36)*$C$22+
$F39*H$48*$C$23*(1+$C$35+$C$36)+
(H$49+H$50)*$C$24+
H$51*$C$25+
H$52*$C$26+
H$53*$C$28</f>
        <v>3.5744755820940775</v>
      </c>
      <c r="I65" s="239">
        <f>Commodity!G42*(1+$C$35+$C$36)*$C$22+
$F39*I$48*$C$23*(1+$C$35+$C$36)+
(I$49+I$50)*$C$24+
I$51*$C$25+
I$52*$C$26+
I$53*$C$28</f>
        <v>3.8267194319165285</v>
      </c>
      <c r="J65" s="239">
        <f>Commodity!H42*(1+$C$35+$C$36)*$C$22+
$F39*J$48*$C$23*(1+$C$35+$C$36)+
(J$49+J$50)*$C$24+
J$51*$C$25+
J$52*$C$26+
J$53*$C$28</f>
        <v>4.0802856276938488</v>
      </c>
      <c r="K65" s="239">
        <f>Commodity!I42*(1+$C$35+$C$36)*$C$22+
$F39*K$48*$C$23*(1+$C$35+$C$36)+
(K$49+K$50)*$C$24+
K$51*$C$25+
K$52*$C$26+
K$53*$C$28</f>
        <v>3.9320152186463417</v>
      </c>
      <c r="L65" s="239">
        <f>Commodity!J42*(1+$C$35+$C$36)*$C$22+
$F39*L$48*$C$23*(1+$C$35+$C$36)+
(L$49+L$50)*$C$24+
L$51*$C$25+
L$52*$C$26+
L$53*$C$28</f>
        <v>3.7852615040141342</v>
      </c>
      <c r="M65" s="239">
        <f>Commodity!K42*(1+$C$35+$C$36)*$C$22+
$F39*M$48*$C$23*(1+$C$35+$C$36)+
(M$49+M$50)*$C$24+
M$51*$C$25+
M$52*$C$26+
M$53*$C$28</f>
        <v>3.6403241651121587</v>
      </c>
      <c r="N65" s="239">
        <f>Commodity!L42*(1+$C$35+$C$36)*$C$22+
$F39*N$48*$C$23*(1+$C$35+$C$36)+
(N$49+N$50)*$C$24+
N$51*$C$25+
N$52*$C$26+
N$53*$C$28</f>
        <v>3.4970147349376761</v>
      </c>
      <c r="O65" s="239">
        <f>Commodity!M42*(1+$C$35+$C$36)*$C$22+
$F39*O$48*$C$23*(1+$C$35+$C$36)+
(O$49+O$50)*$C$24+
O$51*$C$25+
O$52*$C$26+
O$53*$C$28</f>
        <v>3.3555389457833686</v>
      </c>
      <c r="P65" s="239">
        <f>Commodity!N42*(1+$C$35+$C$36)*$C$22+
$F39*P$48*$C$23*(1+$C$35+$C$36)+
(P$49+P$50)*$C$24+
P$51*$C$25+
P$52*$C$26+
P$53*$C$28</f>
        <v>3.4663292373238654</v>
      </c>
      <c r="Q65" s="239">
        <f>Commodity!O42*(1+$C$35+$C$36)*$C$22+
$F39*Q$48*$C$23*(1+$C$35+$C$36)+
(Q$49+Q$50)*$C$24+
Q$51*$C$25+
Q$52*$C$26+
Q$53*$C$28</f>
        <v>3.5795744864669214</v>
      </c>
      <c r="R65" s="239">
        <f>Commodity!P42*(1+$C$35+$C$36)*$C$22+
$F39*R$48*$C$23*(1+$C$35+$C$36)+
(R$49+R$50)*$C$24+
R$51*$C$25+
R$52*$C$26+
R$53*$C$28</f>
        <v>3.6952677467150452</v>
      </c>
      <c r="S65" s="239">
        <f>Commodity!Q42*(1+$C$35+$C$36)*$C$22+
$F39*S$48*$C$23*(1+$C$35+$C$36)+
(S$49+S$50)*$C$24+
S$51*$C$25+
S$52*$C$26+
S$53*$C$28</f>
        <v>3.8134922402205533</v>
      </c>
      <c r="T65" s="239">
        <f>Commodity!R42*(1+$C$35+$C$36)*$C$22+
$F39*T$48*$C$23*(1+$C$35+$C$36)+
(T$49+T$50)*$C$24+
T$51*$C$25+
T$52*$C$26+
T$53*$C$28</f>
        <v>3.9346103000660353</v>
      </c>
      <c r="U65" s="239">
        <f>Commodity!S42*(1+$C$35+$C$36)*$C$22+
$F39*U$48*$C$23*(1+$C$35+$C$36)+
(U$49+U$50)*$C$24+
U$51*$C$25+
U$52*$C$26+
U$53*$C$28</f>
        <v>4.3012928682012213</v>
      </c>
      <c r="V65" s="239">
        <f>Commodity!T42*(1+$C$35+$C$36)*$C$22+
$F39*V$48*$C$23*(1+$C$35+$C$36)+
(V$49+V$50)*$C$24+
V$51*$C$25+
V$52*$C$26+
V$53*$C$28</f>
        <v>4.6710411823367082</v>
      </c>
      <c r="W65" s="239">
        <f>Commodity!U42*(1+$C$35+$C$36)*$C$22+
$F39*W$48*$C$23*(1+$C$35+$C$36)+
(W$49+W$50)*$C$24+
W$51*$C$25+
W$52*$C$26+
W$53*$C$28</f>
        <v>5.0439415012046087</v>
      </c>
      <c r="X65" s="239">
        <f>Commodity!V42*(1+$C$35+$C$36)*$C$22+
$F39*X$48*$C$23*(1+$C$35+$C$36)+
(X$49+X$50)*$C$24+
X$51*$C$25+
X$52*$C$26+
X$53*$C$28</f>
        <v>5.4203246864082715</v>
      </c>
      <c r="Y65" s="239">
        <f>Commodity!W42*(1+$C$35+$C$36)*$C$22+
$F39*Y$48*$C$23*(1+$C$35+$C$36)+
(Y$49+Y$50)*$C$24+
Y$51*$C$25+
Y$52*$C$26+
Y$53*$C$28</f>
        <v>5.534247274117357</v>
      </c>
      <c r="Z65" s="239">
        <f>Commodity!X42*(1+$C$35+$C$36)*$C$22+
$F39*Z$48*$C$23*(1+$C$35+$C$36)+
(Z$49+Z$50)*$C$24+
Z$51*$C$25+
Z$52*$C$26+
Z$53*$C$28</f>
        <v>5.6503125710921145</v>
      </c>
      <c r="AA65" s="239">
        <f>Commodity!Y42*(1+$C$35+$C$36)*$C$22+
$F39*AA$48*$C$23*(1+$C$35+$C$36)+
(AA$49+AA$50)*$C$24+
AA$51*$C$25+
AA$52*$C$26+
AA$53*$C$28</f>
        <v>5.7685714275207118</v>
      </c>
      <c r="AB65" s="239">
        <f>Commodity!Z42*(1+$C$35+$C$36)*$C$22+
$F39*AB$48*$C$23*(1+$C$35+$C$36)+
(AB$49+AB$50)*$C$24+
AB$51*$C$25+
AB$52*$C$26+
AB$53*$C$28</f>
        <v>5.8889907215535766</v>
      </c>
      <c r="AC65" s="239">
        <f>Commodity!AA42*(1+$C$35+$C$36)*$C$22+
$F39*AC$48*$C$23*(1+$C$35+$C$36)+
(AC$49+AC$50)*$C$24+
AC$51*$C$25+
AC$52*$C$26+
AC$53*$C$28</f>
        <v>6.0115707795650959</v>
      </c>
      <c r="AD65" s="239">
        <f>Commodity!AB42*(1+$C$35+$C$36)*$C$22+
$F39*AD$48*$C$23*(1+$C$35+$C$36)+
(AD$49+AD$50)*$C$24+
AD$51*$C$25+
AD$52*$C$26+
AD$53*$C$28</f>
        <v>6.1343155958389719</v>
      </c>
      <c r="AE65" s="239">
        <f>Commodity!AC42*(1+$C$35+$C$36)*$C$22+
$F39*AE$48*$C$23*(1+$C$35+$C$36)+
(AE$49+AE$50)*$C$24+
AE$51*$C$25+
AE$52*$C$26+
AE$53*$C$28</f>
        <v>6.2600457844310862</v>
      </c>
      <c r="AF65" s="239">
        <f>Commodity!AD42*(1+$C$35+$C$36)*$C$22+
$F39*AF$48*$C$23*(1+$C$35+$C$36)+
(AF$49+AF$50)*$C$24+
AF$51*$C$25+
AF$52*$C$26+
AF$53*$C$28</f>
        <v>6.3876228398474773</v>
      </c>
      <c r="AG65" s="239">
        <f>Commodity!AE42*(1+$C$35+$C$36)*$C$22+
$F39*AG$48*$C$23*(1+$C$35+$C$36)+
(AG$49+AG$50)*$C$24+
AG$51*$C$25+
AG$52*$C$26+
AG$53*$C$28</f>
        <v>6.5170312089812974</v>
      </c>
      <c r="AH65" s="239">
        <f>Commodity!AF42*(1+$C$35+$C$36)*$C$22+
$F39*AH$48*$C$23*(1+$C$35+$C$36)+
(AH$49+AH$50)*$C$24+
AH$51*$C$25+
AH$52*$C$26+
AH$53*$C$28</f>
        <v>6.6482538941756513</v>
      </c>
    </row>
    <row r="66" spans="1:35" ht="15" customHeight="1">
      <c r="B66" s="67" t="s">
        <v>62</v>
      </c>
      <c r="C66" s="239">
        <f t="shared" ca="1" si="2"/>
        <v>3.4870731100384607</v>
      </c>
      <c r="E66" s="239">
        <f>Commodity!C43*(1+$C$35+$C$36)*$C$22+
$F40*E$48*$C$23*(1+$C$35+$C$36)+
(E$49+E$50)*$C$24+
E$51*$C$25+
E$52*$C$26+
E$53*$C$28</f>
        <v>1.5384846155250527</v>
      </c>
      <c r="F66" s="239">
        <f>Commodity!D43*(1+$C$35+$C$36)*$C$22+
$F40*F$48*$C$23*(1+$C$35+$C$36)+
(F$49+F$50)*$C$24+
F$51*$C$25+
F$52*$C$26+
F$53*$C$28</f>
        <v>2.4282067030742414</v>
      </c>
      <c r="G66" s="239">
        <f>Commodity!E43*(1+$C$35+$C$36)*$C$22+
$F40*G$48*$C$23*(1+$C$35+$C$36)+
(G$49+G$50)*$C$24+
G$51*$C$25+
G$52*$C$26+
G$53*$C$28</f>
        <v>3.318888297761545</v>
      </c>
      <c r="H66" s="239">
        <f>Commodity!F43*(1+$C$35+$C$36)*$C$22+
$F40*H$48*$C$23*(1+$C$35+$C$36)+
(H$49+H$50)*$C$24+
H$51*$C$25+
H$52*$C$26+
H$53*$C$28</f>
        <v>3.569648773122239</v>
      </c>
      <c r="I66" s="239">
        <f>Commodity!G43*(1+$C$35+$C$36)*$C$22+
$F40*I$48*$C$23*(1+$C$35+$C$36)+
(I$49+I$50)*$C$24+
I$51*$C$25+
I$52*$C$26+
I$53*$C$28</f>
        <v>3.8217876570861322</v>
      </c>
      <c r="J66" s="239">
        <f>Commodity!H43*(1+$C$35+$C$36)*$C$22+
$F40*J$48*$C$23*(1+$C$35+$C$36)+
(J$49+J$50)*$C$24+
J$51*$C$25+
J$52*$C$26+
J$53*$C$28</f>
        <v>4.0752528082142438</v>
      </c>
      <c r="K66" s="239">
        <f>Commodity!I43*(1+$C$35+$C$36)*$C$22+
$F40*K$48*$C$23*(1+$C$35+$C$36)+
(K$49+K$50)*$C$24+
K$51*$C$25+
K$52*$C$26+
K$53*$C$28</f>
        <v>3.9268922625985185</v>
      </c>
      <c r="L66" s="239">
        <f>Commodity!J43*(1+$C$35+$C$36)*$C$22+
$F40*L$48*$C$23*(1+$C$35+$C$36)+
(L$49+L$50)*$C$24+
L$51*$C$25+
L$52*$C$26+
L$53*$C$28</f>
        <v>3.7800100377559778</v>
      </c>
      <c r="M66" s="239">
        <f>Commodity!K43*(1+$C$35+$C$36)*$C$22+
$F40*M$48*$C$23*(1+$C$35+$C$36)+
(M$49+M$50)*$C$24+
M$51*$C$25+
M$52*$C$26+
M$53*$C$28</f>
        <v>3.6349901579656714</v>
      </c>
      <c r="N66" s="239">
        <f>Commodity!L43*(1+$C$35+$C$36)*$C$22+
$F40*N$48*$C$23*(1+$C$35+$C$36)+
(N$49+N$50)*$C$24+
N$51*$C$25+
N$52*$C$26+
N$53*$C$28</f>
        <v>3.4915203759544271</v>
      </c>
      <c r="O66" s="239">
        <f>Commodity!M43*(1+$C$35+$C$36)*$C$22+
$F40*O$48*$C$23*(1+$C$35+$C$36)+
(O$49+O$50)*$C$24+
O$51*$C$25+
O$52*$C$26+
O$53*$C$28</f>
        <v>3.3499361171669548</v>
      </c>
      <c r="P66" s="239">
        <f>Commodity!N43*(1+$C$35+$C$36)*$C$22+
$F40*P$48*$C$23*(1+$C$35+$C$36)+
(P$49+P$50)*$C$24+
P$51*$C$25+
P$52*$C$26+
P$53*$C$28</f>
        <v>3.4606341208537308</v>
      </c>
      <c r="Q66" s="239">
        <f>Commodity!O43*(1+$C$35+$C$36)*$C$22+
$F40*Q$48*$C$23*(1+$C$35+$C$36)+
(Q$49+Q$50)*$C$24+
Q$51*$C$25+
Q$52*$C$26+
Q$53*$C$28</f>
        <v>3.5737596452643356</v>
      </c>
      <c r="R66" s="239">
        <f>Commodity!P43*(1+$C$35+$C$36)*$C$22+
$F40*R$48*$C$23*(1+$C$35+$C$36)+
(R$49+R$50)*$C$24+
R$51*$C$25+
R$52*$C$26+
R$53*$C$28</f>
        <v>3.6893293711918407</v>
      </c>
      <c r="S66" s="239">
        <f>Commodity!Q43*(1+$C$35+$C$36)*$C$22+
$F40*S$48*$C$23*(1+$C$35+$C$36)+
(S$49+S$50)*$C$24+
S$51*$C$25+
S$52*$C$26+
S$53*$C$28</f>
        <v>3.8074074258620696</v>
      </c>
      <c r="T66" s="239">
        <f>Commodity!R43*(1+$C$35+$C$36)*$C$22+
$F40*T$48*$C$23*(1+$C$35+$C$36)+
(T$49+T$50)*$C$24+
T$51*$C$25+
T$52*$C$26+
T$53*$C$28</f>
        <v>3.9283967301582217</v>
      </c>
      <c r="U66" s="239">
        <f>Commodity!S43*(1+$C$35+$C$36)*$C$22+
$F40*U$48*$C$23*(1+$C$35+$C$36)+
(U$49+U$50)*$C$24+
U$51*$C$25+
U$52*$C$26+
U$53*$C$28</f>
        <v>4.294945001888582</v>
      </c>
      <c r="V66" s="239">
        <f>Commodity!T43*(1+$C$35+$C$36)*$C$22+
$F40*V$48*$C$23*(1+$C$35+$C$36)+
(V$49+V$50)*$C$24+
V$51*$C$25+
V$52*$C$26+
V$53*$C$28</f>
        <v>4.6645568531482695</v>
      </c>
      <c r="W66" s="239">
        <f>Commodity!U43*(1+$C$35+$C$36)*$C$22+
$F40*W$48*$C$23*(1+$C$35+$C$36)+
(W$49+W$50)*$C$24+
W$51*$C$25+
W$52*$C$26+
W$53*$C$28</f>
        <v>5.0373154113502876</v>
      </c>
      <c r="X66" s="239">
        <f>Commodity!V43*(1+$C$35+$C$36)*$C$22+
$F40*X$48*$C$23*(1+$C$35+$C$36)+
(X$49+X$50)*$C$24+
X$51*$C$25+
X$52*$C$26+
X$53*$C$28</f>
        <v>5.4135564417482964</v>
      </c>
      <c r="Y66" s="239">
        <f>Commodity!W43*(1+$C$35+$C$36)*$C$22+
$F40*Y$48*$C$23*(1+$C$35+$C$36)+
(Y$49+Y$50)*$C$24+
Y$51*$C$25+
Y$52*$C$26+
Y$53*$C$28</f>
        <v>5.5273305193434448</v>
      </c>
      <c r="Z66" s="239">
        <f>Commodity!X43*(1+$C$35+$C$36)*$C$22+
$F40*Z$48*$C$23*(1+$C$35+$C$36)+
(Z$49+Z$50)*$C$24+
Z$51*$C$25+
Z$52*$C$26+
Z$53*$C$28</f>
        <v>5.6432467927420724</v>
      </c>
      <c r="AA66" s="239">
        <f>Commodity!Y43*(1+$C$35+$C$36)*$C$22+
$F40*AA$48*$C$23*(1+$C$35+$C$36)+
(AA$49+AA$50)*$C$24+
AA$51*$C$25+
AA$52*$C$26+
AA$53*$C$28</f>
        <v>5.7613507777956787</v>
      </c>
      <c r="AB66" s="239">
        <f>Commodity!Z43*(1+$C$35+$C$36)*$C$22+
$F40*AB$48*$C$23*(1+$C$35+$C$36)+
(AB$49+AB$50)*$C$24+
AB$51*$C$25+
AB$52*$C$26+
AB$53*$C$28</f>
        <v>5.8816128751597727</v>
      </c>
      <c r="AC66" s="239">
        <f>Commodity!AA43*(1+$C$35+$C$36)*$C$22+
$F40*AC$48*$C$23*(1+$C$35+$C$36)+
(AC$49+AC$50)*$C$24+
AC$51*$C$25+
AC$52*$C$26+
AC$53*$C$28</f>
        <v>6.0040308297262825</v>
      </c>
      <c r="AD66" s="239">
        <f>Commodity!AB43*(1+$C$35+$C$36)*$C$22+
$F40*AD$48*$C$23*(1+$C$35+$C$36)+
(AD$49+AD$50)*$C$24+
AD$51*$C$25+
AD$52*$C$26+
AD$53*$C$28</f>
        <v>6.1266287153254293</v>
      </c>
      <c r="AE66" s="239">
        <f>Commodity!AC43*(1+$C$35+$C$36)*$C$22+
$F40*AE$48*$C$23*(1+$C$35+$C$36)+
(AE$49+AE$50)*$C$24+
AE$51*$C$25+
AE$52*$C$26+
AE$53*$C$28</f>
        <v>6.2521986666016875</v>
      </c>
      <c r="AF66" s="239">
        <f>Commodity!AD43*(1+$C$35+$C$36)*$C$22+
$F40*AF$48*$C$23*(1+$C$35+$C$36)+
(AF$49+AF$50)*$C$24+
AF$51*$C$25+
AF$52*$C$26+
AF$53*$C$28</f>
        <v>6.3796282111124931</v>
      </c>
      <c r="AG66" s="239">
        <f>Commodity!AE43*(1+$C$35+$C$36)*$C$22+
$F40*AG$48*$C$23*(1+$C$35+$C$36)+
(AG$49+AG$50)*$C$24+
AG$51*$C$25+
AG$52*$C$26+
AG$53*$C$28</f>
        <v>6.5088815989551012</v>
      </c>
      <c r="AH66" s="239">
        <f>Commodity!AF43*(1+$C$35+$C$36)*$C$22+
$F40*AH$48*$C$23*(1+$C$35+$C$36)+
(AH$49+AH$50)*$C$24+
AH$51*$C$25+
AH$52*$C$26+
AH$53*$C$28</f>
        <v>6.6399459779870726</v>
      </c>
    </row>
    <row r="67" spans="1:35" ht="15" customHeight="1">
      <c r="B67" s="67" t="s">
        <v>63</v>
      </c>
      <c r="C67" s="239">
        <f t="shared" ca="1" si="2"/>
        <v>3.496616358724757</v>
      </c>
      <c r="E67" s="239">
        <f>Commodity!C44*(1+$C$35+$C$36)*$C$22+
$F41*E$48*$C$23*(1+$C$35+$C$36)+
(E$49+E$50)*$C$24+
E$51*$C$25+
E$52*$C$26+
E$53*$C$28</f>
        <v>1.5466624354273517</v>
      </c>
      <c r="F67" s="239">
        <f>Commodity!D44*(1+$C$35+$C$36)*$C$22+
$F41*F$48*$C$23*(1+$C$35+$C$36)+
(F$49+F$50)*$C$24+
F$51*$C$25+
F$52*$C$26+
F$53*$C$28</f>
        <v>2.4365449194739921</v>
      </c>
      <c r="G67" s="239">
        <f>Commodity!E44*(1+$C$35+$C$36)*$C$22+
$F41*G$48*$C$23*(1+$C$35+$C$36)+
(G$49+G$50)*$C$24+
G$51*$C$25+
G$52*$C$26+
G$53*$C$28</f>
        <v>3.3274101405359984</v>
      </c>
      <c r="H67" s="239">
        <f>Commodity!F44*(1+$C$35+$C$36)*$C$22+
$F41*H$48*$C$23*(1+$C$35+$C$36)+
(H$49+H$50)*$C$24+
H$51*$C$25+
H$52*$C$26+
H$53*$C$28</f>
        <v>3.5783514218897965</v>
      </c>
      <c r="I67" s="239">
        <f>Commodity!G44*(1+$C$35+$C$36)*$C$22+
$F41*I$48*$C$23*(1+$C$35+$C$36)+
(I$49+I$50)*$C$24+
I$51*$C$25+
I$52*$C$26+
I$53*$C$28</f>
        <v>3.8306595830236048</v>
      </c>
      <c r="J67" s="239">
        <f>Commodity!H44*(1+$C$35+$C$36)*$C$22+
$F41*J$48*$C$23*(1+$C$35+$C$36)+
(J$49+J$50)*$C$24+
J$51*$C$25+
J$52*$C$26+
J$53*$C$28</f>
        <v>4.0843029891401068</v>
      </c>
      <c r="K67" s="239">
        <f>Commodity!I44*(1+$C$35+$C$36)*$C$22+
$F41*K$48*$C$23*(1+$C$35+$C$36)+
(K$49+K$50)*$C$24+
K$51*$C$25+
K$52*$C$26+
K$53*$C$28</f>
        <v>3.9361425585036067</v>
      </c>
      <c r="L67" s="239">
        <f>Commodity!J44*(1+$C$35+$C$36)*$C$22+
$F41*L$48*$C$23*(1+$C$35+$C$36)+
(L$49+L$50)*$C$24+
L$51*$C$25+
L$52*$C$26+
L$53*$C$28</f>
        <v>3.7894287331577776</v>
      </c>
      <c r="M67" s="239">
        <f>Commodity!K44*(1+$C$35+$C$36)*$C$22+
$F41*M$48*$C$23*(1+$C$35+$C$36)+
(M$49+M$50)*$C$24+
M$51*$C$25+
M$52*$C$26+
M$53*$C$28</f>
        <v>3.644636055327056</v>
      </c>
      <c r="N67" s="239">
        <f>Commodity!L44*(1+$C$35+$C$36)*$C$22+
$F41*N$48*$C$23*(1+$C$35+$C$36)+
(N$49+N$50)*$C$24+
N$51*$C$25+
N$52*$C$26+
N$53*$C$28</f>
        <v>3.5013178879163012</v>
      </c>
      <c r="O67" s="239">
        <f>Commodity!M44*(1+$C$35+$C$36)*$C$22+
$F41*O$48*$C$23*(1+$C$35+$C$36)+
(O$49+O$50)*$C$24+
O$51*$C$25+
O$52*$C$26+
O$53*$C$28</f>
        <v>3.3599436932352842</v>
      </c>
      <c r="P67" s="239">
        <f>Commodity!N44*(1+$C$35+$C$36)*$C$22+
$F41*P$48*$C$23*(1+$C$35+$C$36)+
(P$49+P$50)*$C$24+
P$51*$C$25+
P$52*$C$26+
P$53*$C$28</f>
        <v>3.4708824774006701</v>
      </c>
      <c r="Q67" s="239">
        <f>Commodity!O44*(1+$C$35+$C$36)*$C$22+
$F41*Q$48*$C$23*(1+$C$35+$C$36)+
(Q$49+Q$50)*$C$24+
Q$51*$C$25+
Q$52*$C$26+
Q$53*$C$28</f>
        <v>3.5842345248791005</v>
      </c>
      <c r="R67" s="239">
        <f>Commodity!P44*(1+$C$35+$C$36)*$C$22+
$F41*R$48*$C$23*(1+$C$35+$C$36)+
(R$49+R$50)*$C$24+
R$51*$C$25+
R$52*$C$26+
R$53*$C$28</f>
        <v>3.7000383889958202</v>
      </c>
      <c r="S67" s="239">
        <f>Commodity!Q44*(1+$C$35+$C$36)*$C$22+
$F41*S$48*$C$23*(1+$C$35+$C$36)+
(S$49+S$50)*$C$24+
S$51*$C$25+
S$52*$C$26+
S$53*$C$28</f>
        <v>3.8183353292131841</v>
      </c>
      <c r="T67" s="239">
        <f>Commodity!R44*(1+$C$35+$C$36)*$C$22+
$F41*T$48*$C$23*(1+$C$35+$C$36)+
(T$49+T$50)*$C$24+
T$51*$C$25+
T$52*$C$26+
T$53*$C$28</f>
        <v>3.9395690551402498</v>
      </c>
      <c r="U67" s="239">
        <f>Commodity!S44*(1+$C$35+$C$36)*$C$22+
$F41*U$48*$C$23*(1+$C$35+$C$36)+
(U$49+U$50)*$C$24+
U$51*$C$25+
U$52*$C$26+
U$53*$C$28</f>
        <v>4.3063634654052603</v>
      </c>
      <c r="V67" s="239">
        <f>Commodity!T44*(1+$C$35+$C$36)*$C$22+
$F41*V$48*$C$23*(1+$C$35+$C$36)+
(V$49+V$50)*$C$24+
V$51*$C$25+
V$52*$C$26+
V$53*$C$28</f>
        <v>4.676228835052072</v>
      </c>
      <c r="W67" s="239">
        <f>Commodity!U44*(1+$C$35+$C$36)*$C$22+
$F41*W$48*$C$23*(1+$C$35+$C$36)+
(W$49+W$50)*$C$24+
W$51*$C$25+
W$52*$C$26+
W$53*$C$28</f>
        <v>5.0492450217943645</v>
      </c>
      <c r="X67" s="239">
        <f>Commodity!V44*(1+$C$35+$C$36)*$C$22+
$F41*X$48*$C$23*(1+$C$35+$C$36)+
(X$49+X$50)*$C$24+
X$51*$C$25+
X$52*$C$26+
X$53*$C$28</f>
        <v>5.4257518598574679</v>
      </c>
      <c r="Y67" s="239">
        <f>Commodity!W44*(1+$C$35+$C$36)*$C$22+
$F41*Y$48*$C$23*(1+$C$35+$C$36)+
(Y$49+Y$50)*$C$24+
Y$51*$C$25+
Y$52*$C$26+
Y$53*$C$28</f>
        <v>5.5397952060875255</v>
      </c>
      <c r="Z67" s="239">
        <f>Commodity!X44*(1+$C$35+$C$36)*$C$22+
$F41*Z$48*$C$23*(1+$C$35+$C$36)+
(Z$49+Z$50)*$C$24+
Z$51*$C$25+
Z$52*$C$26+
Z$53*$C$28</f>
        <v>5.6559909835640214</v>
      </c>
      <c r="AA67" s="239">
        <f>Commodity!Y44*(1+$C$35+$C$36)*$C$22+
$F41*AA$48*$C$23*(1+$C$35+$C$36)+
(AA$49+AA$50)*$C$24+
AA$51*$C$25+
AA$52*$C$26+
AA$53*$C$28</f>
        <v>5.7743796136597574</v>
      </c>
      <c r="AB67" s="239">
        <f>Commodity!Z44*(1+$C$35+$C$36)*$C$22+
$F41*AB$48*$C$23*(1+$C$35+$C$36)+
(AB$49+AB$50)*$C$24+
AB$51*$C$25+
AB$52*$C$26+
AB$53*$C$28</f>
        <v>5.894933655912233</v>
      </c>
      <c r="AC67" s="239">
        <f>Commodity!AA44*(1+$C$35+$C$36)*$C$22+
$F41*AC$48*$C$23*(1+$C$35+$C$36)+
(AC$49+AC$50)*$C$24+
AC$51*$C$25+
AC$52*$C$26+
AC$53*$C$28</f>
        <v>6.0176474556126811</v>
      </c>
      <c r="AD67" s="239">
        <f>Commodity!AB44*(1+$C$35+$C$36)*$C$22+
$F41*AD$48*$C$23*(1+$C$35+$C$36)+
(AD$49+AD$50)*$C$24+
AD$51*$C$25+
AD$52*$C$26+
AD$53*$C$28</f>
        <v>6.1405212541712508</v>
      </c>
      <c r="AE67" s="239">
        <f>Commodity!AC44*(1+$C$35+$C$36)*$C$22+
$F41*AE$48*$C$23*(1+$C$35+$C$36)+
(AE$49+AE$50)*$C$24+
AE$51*$C$25+
AE$52*$C$26+
AE$53*$C$28</f>
        <v>6.2663788897965684</v>
      </c>
      <c r="AF67" s="239">
        <f>Commodity!AD44*(1+$C$35+$C$36)*$C$22+
$F41*AF$48*$C$23*(1+$C$35+$C$36)+
(AF$49+AF$50)*$C$24+
AF$51*$C$25+
AF$52*$C$26+
AF$53*$C$28</f>
        <v>6.3941089267412234</v>
      </c>
      <c r="AG67" s="239">
        <f>Commodity!AE44*(1+$C$35+$C$36)*$C$22+
$F41*AG$48*$C$23*(1+$C$35+$C$36)+
(AG$49+AG$50)*$C$24+
AG$51*$C$25+
AG$52*$C$26+
AG$53*$C$28</f>
        <v>6.5236536933720872</v>
      </c>
      <c r="AH67" s="239">
        <f>Commodity!AF44*(1+$C$35+$C$36)*$C$22+
$F41*AH$48*$C$23*(1+$C$35+$C$36)+
(AH$49+AH$50)*$C$24+
AH$51*$C$25+
AH$52*$C$26+
AH$53*$C$28</f>
        <v>6.6550033970588567</v>
      </c>
    </row>
    <row r="68" spans="1:35" ht="15" customHeight="1">
      <c r="B68" s="67" t="s">
        <v>64</v>
      </c>
      <c r="C68" s="239">
        <f t="shared" ca="1" si="2"/>
        <v>3.4926270107042363</v>
      </c>
      <c r="E68" s="239">
        <f>Commodity!C45*(1+$C$35+$C$36)*$C$22+
$F42*E$48*$C$23*(1+$C$35+$C$36)+
(E$49+E$50)*$C$24+
E$51*$C$25+
E$52*$C$26+
E$53*$C$28</f>
        <v>1.5432370144935863</v>
      </c>
      <c r="F68" s="239">
        <f>Commodity!D45*(1+$C$35+$C$36)*$C$22+
$F42*F$48*$C$23*(1+$C$35+$C$36)+
(F$49+F$50)*$C$24+
F$51*$C$25+
F$52*$C$26+
F$53*$C$28</f>
        <v>2.4330423346152057</v>
      </c>
      <c r="G68" s="239">
        <f>Commodity!E45*(1+$C$35+$C$36)*$C$22+
$F42*G$48*$C$23*(1+$C$35+$C$36)+
(G$49+G$50)*$C$24+
G$51*$C$25+
G$52*$C$26+
G$53*$C$28</f>
        <v>3.3238502616575363</v>
      </c>
      <c r="H68" s="239">
        <f>Commodity!F45*(1+$C$35+$C$36)*$C$22+
$F42*H$48*$C$23*(1+$C$35+$C$36)+
(H$49+H$50)*$C$24+
H$51*$C$25+
H$52*$C$26+
H$53*$C$28</f>
        <v>3.574726298332557</v>
      </c>
      <c r="I68" s="239">
        <f>Commodity!G45*(1+$C$35+$C$36)*$C$22+
$F42*I$48*$C$23*(1+$C$35+$C$36)+
(I$49+I$50)*$C$24+
I$51*$C$25+
I$52*$C$26+
I$53*$C$28</f>
        <v>3.8269538927926816</v>
      </c>
      <c r="J68" s="239">
        <f>Commodity!H45*(1+$C$35+$C$36)*$C$22+
$F42*J$48*$C$23*(1+$C$35+$C$36)+
(J$49+J$50)*$C$24+
J$51*$C$25+
J$52*$C$26+
J$53*$C$28</f>
        <v>4.0805210696808754</v>
      </c>
      <c r="K68" s="239">
        <f>Commodity!I45*(1+$C$35+$C$36)*$C$22+
$F42*K$48*$C$23*(1+$C$35+$C$36)+
(K$49+K$50)*$C$24+
K$51*$C$25+
K$52*$C$26+
K$53*$C$28</f>
        <v>3.9322962055302808</v>
      </c>
      <c r="L68" s="239">
        <f>Commodity!J45*(1+$C$35+$C$36)*$C$22+
$F42*L$48*$C$23*(1+$C$35+$C$36)+
(L$49+L$50)*$C$24+
L$51*$C$25+
L$52*$C$26+
L$53*$C$28</f>
        <v>3.7854803712168947</v>
      </c>
      <c r="M68" s="239">
        <f>Commodity!K45*(1+$C$35+$C$36)*$C$22+
$F42*M$48*$C$23*(1+$C$35+$C$36)+
(M$49+M$50)*$C$24+
M$51*$C$25+
M$52*$C$26+
M$53*$C$28</f>
        <v>3.6406325031806142</v>
      </c>
      <c r="N68" s="239">
        <f>Commodity!L45*(1+$C$35+$C$36)*$C$22+
$F42*N$48*$C$23*(1+$C$35+$C$36)+
(N$49+N$50)*$C$24+
N$51*$C$25+
N$52*$C$26+
N$53*$C$28</f>
        <v>3.4971819745843895</v>
      </c>
      <c r="O68" s="239">
        <f>Commodity!M45*(1+$C$35+$C$36)*$C$22+
$F42*O$48*$C$23*(1+$C$35+$C$36)+
(O$49+O$50)*$C$24+
O$51*$C$25+
O$52*$C$26+
O$53*$C$28</f>
        <v>3.3557275727030231</v>
      </c>
      <c r="P68" s="239">
        <f>Commodity!N45*(1+$C$35+$C$36)*$C$22+
$F42*P$48*$C$23*(1+$C$35+$C$36)+
(P$49+P$50)*$C$24+
P$51*$C$25+
P$52*$C$26+
P$53*$C$28</f>
        <v>3.4666034996536146</v>
      </c>
      <c r="Q68" s="239">
        <f>Commodity!O45*(1+$C$35+$C$36)*$C$22+
$F42*Q$48*$C$23*(1+$C$35+$C$36)+
(Q$49+Q$50)*$C$24+
Q$51*$C$25+
Q$52*$C$26+
Q$53*$C$28</f>
        <v>3.5798665542509611</v>
      </c>
      <c r="R68" s="239">
        <f>Commodity!P45*(1+$C$35+$C$36)*$C$22+
$F42*R$48*$C$23*(1+$C$35+$C$36)+
(R$49+R$50)*$C$24+
R$51*$C$25+
R$52*$C$26+
R$53*$C$28</f>
        <v>3.6955786291102233</v>
      </c>
      <c r="S68" s="239">
        <f>Commodity!Q45*(1+$C$35+$C$36)*$C$22+
$F42*S$48*$C$23*(1+$C$35+$C$36)+
(S$49+S$50)*$C$24+
S$51*$C$25+
S$52*$C$26+
S$53*$C$28</f>
        <v>3.8137616710981508</v>
      </c>
      <c r="T68" s="239">
        <f>Commodity!R45*(1+$C$35+$C$36)*$C$22+
$F42*T$48*$C$23*(1+$C$35+$C$36)+
(T$49+T$50)*$C$24+
T$51*$C$25+
T$52*$C$26+
T$53*$C$28</f>
        <v>3.9348997618802302</v>
      </c>
      <c r="U68" s="239">
        <f>Commodity!S45*(1+$C$35+$C$36)*$C$22+
$F42*U$48*$C$23*(1+$C$35+$C$36)+
(U$49+U$50)*$C$24+
U$51*$C$25+
U$52*$C$26+
U$53*$C$28</f>
        <v>4.3015936577351921</v>
      </c>
      <c r="V68" s="239">
        <f>Commodity!T45*(1+$C$35+$C$36)*$C$22+
$F42*V$48*$C$23*(1+$C$35+$C$36)+
(V$49+V$50)*$C$24+
V$51*$C$25+
V$52*$C$26+
V$53*$C$28</f>
        <v>4.6713571872848618</v>
      </c>
      <c r="W68" s="239">
        <f>Commodity!U45*(1+$C$35+$C$36)*$C$22+
$F42*W$48*$C$23*(1+$C$35+$C$36)+
(W$49+W$50)*$C$24+
W$51*$C$25+
W$52*$C$26+
W$53*$C$28</f>
        <v>5.0442670829060701</v>
      </c>
      <c r="X68" s="239">
        <f>Commodity!V45*(1+$C$35+$C$36)*$C$22+
$F42*X$48*$C$23*(1+$C$35+$C$36)+
(X$49+X$50)*$C$24+
X$51*$C$25+
X$52*$C$26+
X$53*$C$28</f>
        <v>5.4206679818774681</v>
      </c>
      <c r="Y68" s="239">
        <f>Commodity!W45*(1+$C$35+$C$36)*$C$22+
$F42*Y$48*$C$23*(1+$C$35+$C$36)+
(Y$49+Y$50)*$C$24+
Y$51*$C$25+
Y$52*$C$26+
Y$53*$C$28</f>
        <v>5.5345999219805035</v>
      </c>
      <c r="Z68" s="239">
        <f>Commodity!X45*(1+$C$35+$C$36)*$C$22+
$F42*Z$48*$C$23*(1+$C$35+$C$36)+
(Z$49+Z$50)*$C$24+
Z$51*$C$25+
Z$52*$C$26+
Z$53*$C$28</f>
        <v>5.6506847155034476</v>
      </c>
      <c r="AA68" s="239">
        <f>Commodity!Y45*(1+$C$35+$C$36)*$C$22+
$F42*AA$48*$C$23*(1+$C$35+$C$36)+
(AA$49+AA$50)*$C$24+
AA$51*$C$25+
AA$52*$C$26+
AA$53*$C$28</f>
        <v>5.768957500940961</v>
      </c>
      <c r="AB68" s="239">
        <f>Commodity!Z45*(1+$C$35+$C$36)*$C$22+
$F42*AB$48*$C$23*(1+$C$35+$C$36)+
(AB$49+AB$50)*$C$24+
AB$51*$C$25+
AB$52*$C$26+
AB$53*$C$28</f>
        <v>5.8893942217766959</v>
      </c>
      <c r="AC68" s="239">
        <f>Commodity!AA45*(1+$C$35+$C$36)*$C$22+
$F42*AC$48*$C$23*(1+$C$35+$C$36)+
(AC$49+AC$50)*$C$24+
AC$51*$C$25+
AC$52*$C$26+
AC$53*$C$28</f>
        <v>6.0119865856617762</v>
      </c>
      <c r="AD68" s="239">
        <f>Commodity!AB45*(1+$C$35+$C$36)*$C$22+
$F42*AD$48*$C$23*(1+$C$35+$C$36)+
(AD$49+AD$50)*$C$24+
AD$51*$C$25+
AD$52*$C$26+
AD$53*$C$28</f>
        <v>6.1347509879402455</v>
      </c>
      <c r="AE68" s="239">
        <f>Commodity!AC45*(1+$C$35+$C$36)*$C$22+
$F42*AE$48*$C$23*(1+$C$35+$C$36)+
(AE$49+AE$50)*$C$24+
AE$51*$C$25+
AE$52*$C$26+
AE$53*$C$28</f>
        <v>6.2604881731199509</v>
      </c>
      <c r="AF68" s="239">
        <f>Commodity!AD45*(1+$C$35+$C$36)*$C$22+
$F42*AF$48*$C$23*(1+$C$35+$C$36)+
(AF$49+AF$50)*$C$24+
AF$51*$C$25+
AF$52*$C$26+
AF$53*$C$28</f>
        <v>6.3881104200024552</v>
      </c>
      <c r="AG68" s="239">
        <f>Commodity!AE45*(1+$C$35+$C$36)*$C$22+
$F42*AG$48*$C$23*(1+$C$35+$C$36)+
(AG$49+AG$50)*$C$24+
AG$51*$C$25+
AG$52*$C$26+
AG$53*$C$28</f>
        <v>6.5175398265170337</v>
      </c>
      <c r="AH68" s="239">
        <f>Commodity!AF45*(1+$C$35+$C$36)*$C$22+
$F42*AH$48*$C$23*(1+$C$35+$C$36)+
(AH$49+AH$50)*$C$24+
AH$51*$C$25+
AH$52*$C$26+
AH$53*$C$28</f>
        <v>6.6487706274989344</v>
      </c>
    </row>
    <row r="69" spans="1:35" ht="15" customHeight="1">
      <c r="B69" s="67" t="s">
        <v>65</v>
      </c>
      <c r="C69" s="239">
        <f t="shared" ca="1" si="2"/>
        <v>4.4831739134033146</v>
      </c>
      <c r="E69" s="239">
        <f>Commodity!C46*(1+$C$35+$C$36)*$C$22+
$F43*E$48*$C$23*(1+$C$35+$C$36)+
(E$49+E$50)*$C$24+
E$51*$C$25+
E$52*$C$26+
E$53*$C$28</f>
        <v>2.416660923873132</v>
      </c>
      <c r="F69" s="239">
        <f>Commodity!D46*(1+$C$35+$C$36)*$C$22+
$F43*F$48*$C$23*(1+$C$35+$C$36)+
(F$49+F$50)*$C$24+
F$51*$C$25+
F$52*$C$26+
F$53*$C$28</f>
        <v>3.3025436416508156</v>
      </c>
      <c r="G69" s="239">
        <f>Commodity!E46*(1+$C$35+$C$36)*$C$22+
$F43*G$48*$C$23*(1+$C$35+$C$36)+
(G$49+G$50)*$C$24+
G$51*$C$25+
G$52*$C$26+
G$53*$C$28</f>
        <v>4.2107675376430196</v>
      </c>
      <c r="H69" s="239">
        <f>Commodity!F46*(1+$C$35+$C$36)*$C$22+
$F43*H$48*$C$23*(1+$C$35+$C$36)+
(H$49+H$50)*$C$24+
H$51*$C$25+
H$52*$C$26+
H$53*$C$28</f>
        <v>4.4794011091494808</v>
      </c>
      <c r="I69" s="239">
        <f>Commodity!G46*(1+$C$35+$C$36)*$C$22+
$F43*I$48*$C$23*(1+$C$35+$C$36)+
(I$49+I$50)*$C$24+
I$51*$C$25+
I$52*$C$26+
I$53*$C$28</f>
        <v>4.7497224636019348</v>
      </c>
      <c r="J69" s="239">
        <f>Commodity!H46*(1+$C$35+$C$36)*$C$22+
$F43*J$48*$C$23*(1+$C$35+$C$36)+
(J$49+J$50)*$C$24+
J$51*$C$25+
J$52*$C$26+
J$53*$C$28</f>
        <v>5.0217509420908693</v>
      </c>
      <c r="K69" s="239">
        <f>Commodity!I46*(1+$C$35+$C$36)*$C$22+
$F43*K$48*$C$23*(1+$C$35+$C$36)+
(K$49+K$50)*$C$24+
K$51*$C$25+
K$52*$C$26+
K$53*$C$28</f>
        <v>4.8923856446112781</v>
      </c>
      <c r="L69" s="239">
        <f>Commodity!J46*(1+$C$35+$C$36)*$C$22+
$F43*L$48*$C$23*(1+$C$35+$C$36)+
(L$49+L$50)*$C$24+
L$51*$C$25+
L$52*$C$26+
L$53*$C$28</f>
        <v>4.7647674561789506</v>
      </c>
      <c r="M69" s="239">
        <f>Commodity!K46*(1+$C$35+$C$36)*$C$22+
$F43*M$48*$C$23*(1+$C$35+$C$36)+
(M$49+M$50)*$C$24+
M$51*$C$25+
M$52*$C$26+
M$53*$C$28</f>
        <v>4.6395746446057711</v>
      </c>
      <c r="N69" s="239">
        <f>Commodity!L46*(1+$C$35+$C$36)*$C$22+
$F43*N$48*$C$23*(1+$C$35+$C$36)+
(N$49+N$50)*$C$24+
N$51*$C$25+
N$52*$C$26+
N$53*$C$28</f>
        <v>4.516075393822736</v>
      </c>
      <c r="O69" s="239">
        <f>Commodity!M46*(1+$C$35+$C$36)*$C$22+
$F43*O$48*$C$23*(1+$C$35+$C$36)+
(O$49+O$50)*$C$24+
O$51*$C$25+
O$52*$C$26+
O$53*$C$28</f>
        <v>4.3950345421178225</v>
      </c>
      <c r="P69" s="239">
        <f>Commodity!N46*(1+$C$35+$C$36)*$C$22+
$F43*P$48*$C$23*(1+$C$35+$C$36)+
(P$49+P$50)*$C$24+
P$51*$C$25+
P$52*$C$26+
P$53*$C$28</f>
        <v>4.5267749776046973</v>
      </c>
      <c r="Q69" s="239">
        <f>Commodity!O46*(1+$C$35+$C$36)*$C$22+
$F43*Q$48*$C$23*(1+$C$35+$C$36)+
(Q$49+Q$50)*$C$24+
Q$51*$C$25+
Q$52*$C$26+
Q$53*$C$28</f>
        <v>4.6613083538184865</v>
      </c>
      <c r="R69" s="239">
        <f>Commodity!P46*(1+$C$35+$C$36)*$C$22+
$F43*R$48*$C$23*(1+$C$35+$C$36)+
(R$49+R$50)*$C$24+
R$51*$C$25+
R$52*$C$26+
R$53*$C$28</f>
        <v>4.7987266320599939</v>
      </c>
      <c r="S69" s="239">
        <f>Commodity!Q46*(1+$C$35+$C$36)*$C$22+
$F43*S$48*$C$23*(1+$C$35+$C$36)+
(S$49+S$50)*$C$24+
S$51*$C$25+
S$52*$C$26+
S$53*$C$28</f>
        <v>4.9390282061307689</v>
      </c>
      <c r="T69" s="239">
        <f>Commodity!R46*(1+$C$35+$C$36)*$C$22+
$F43*T$48*$C$23*(1+$C$35+$C$36)+
(T$49+T$50)*$C$24+
T$51*$C$25+
T$52*$C$26+
T$53*$C$28</f>
        <v>5.0827520008509097</v>
      </c>
      <c r="U69" s="239">
        <f>Commodity!S46*(1+$C$35+$C$36)*$C$22+
$F43*U$48*$C$23*(1+$C$35+$C$36)+
(U$49+U$50)*$C$24+
U$51*$C$25+
U$52*$C$26+
U$53*$C$28</f>
        <v>5.4724794048773209</v>
      </c>
      <c r="V69" s="239">
        <f>Commodity!T46*(1+$C$35+$C$36)*$C$22+
$F43*V$48*$C$23*(1+$C$35+$C$36)+
(V$49+V$50)*$C$24+
V$51*$C$25+
V$52*$C$26+
V$53*$C$28</f>
        <v>5.8657429014333751</v>
      </c>
      <c r="W69" s="239">
        <f>Commodity!U46*(1+$C$35+$C$36)*$C$22+
$F43*W$48*$C$23*(1+$C$35+$C$36)+
(W$49+W$50)*$C$24+
W$51*$C$25+
W$52*$C$26+
W$53*$C$28</f>
        <v>6.2626241722989704</v>
      </c>
      <c r="X69" s="239">
        <f>Commodity!V46*(1+$C$35+$C$36)*$C$22+
$F43*X$48*$C$23*(1+$C$35+$C$36)+
(X$49+X$50)*$C$24+
X$51*$C$25+
X$52*$C$26+
X$53*$C$28</f>
        <v>6.663480208991257</v>
      </c>
      <c r="Y69" s="239">
        <f>Commodity!W46*(1+$C$35+$C$36)*$C$22+
$F43*Y$48*$C$23*(1+$C$35+$C$36)+
(Y$49+Y$50)*$C$24+
Y$51*$C$25+
Y$52*$C$26+
Y$53*$C$28</f>
        <v>6.8023568608676666</v>
      </c>
      <c r="Z69" s="239">
        <f>Commodity!X46*(1+$C$35+$C$36)*$C$22+
$F43*Z$48*$C$23*(1+$C$35+$C$36)+
(Z$49+Z$50)*$C$24+
Z$51*$C$25+
Z$52*$C$26+
Z$53*$C$28</f>
        <v>6.9438944653846804</v>
      </c>
      <c r="AA69" s="239">
        <f>Commodity!Y46*(1+$C$35+$C$36)*$C$22+
$F43*AA$48*$C$23*(1+$C$35+$C$36)+
(AA$49+AA$50)*$C$24+
AA$51*$C$25+
AA$52*$C$26+
AA$53*$C$28</f>
        <v>7.0881323624227974</v>
      </c>
      <c r="AB69" s="239">
        <f>Commodity!Z46*(1+$C$35+$C$36)*$C$22+
$F43*AB$48*$C$23*(1+$C$35+$C$36)+
(AB$49+AB$50)*$C$24+
AB$51*$C$25+
AB$52*$C$26+
AB$53*$C$28</f>
        <v>7.2350566118623556</v>
      </c>
      <c r="AC69" s="239">
        <f>Commodity!AA46*(1+$C$35+$C$36)*$C$22+
$F43*AC$48*$C$23*(1+$C$35+$C$36)+
(AC$49+AC$50)*$C$24+
AC$51*$C$25+
AC$52*$C$26+
AC$53*$C$28</f>
        <v>7.3846637873359269</v>
      </c>
      <c r="AD69" s="239">
        <f>Commodity!AB46*(1+$C$35+$C$36)*$C$22+
$F43*AD$48*$C$23*(1+$C$35+$C$36)+
(AD$49+AD$50)*$C$24+
AD$51*$C$25+
AD$52*$C$26+
AD$53*$C$28</f>
        <v>7.5348853403026439</v>
      </c>
      <c r="AE69" s="239">
        <f>Commodity!AC46*(1+$C$35+$C$36)*$C$22+
$F43*AE$48*$C$23*(1+$C$35+$C$36)+
(AE$49+AE$50)*$C$24+
AE$51*$C$25+
AE$52*$C$26+
AE$53*$C$28</f>
        <v>7.6886616928114426</v>
      </c>
      <c r="AF69" s="239">
        <f>Commodity!AD46*(1+$C$35+$C$36)*$C$22+
$F43*AF$48*$C$23*(1+$C$35+$C$36)+
(AF$49+AF$50)*$C$24+
AF$51*$C$25+
AF$52*$C$26+
AF$53*$C$28</f>
        <v>7.8448781007662705</v>
      </c>
      <c r="AG69" s="239">
        <f>Commodity!AE46*(1+$C$35+$C$36)*$C$22+
$F43*AG$48*$C$23*(1+$C$35+$C$36)+
(AG$49+AG$50)*$C$24+
AG$51*$C$25+
AG$52*$C$26+
AG$53*$C$28</f>
        <v>8.0034399749120606</v>
      </c>
      <c r="AH69" s="239">
        <f>Commodity!AF46*(1+$C$35+$C$36)*$C$22+
$F43*AH$48*$C$23*(1+$C$35+$C$36)+
(AH$49+AH$50)*$C$24+
AH$51*$C$25+
AH$52*$C$26+
AH$53*$C$28</f>
        <v>8.1643543518710331</v>
      </c>
    </row>
    <row r="70" spans="1:35" ht="15" customHeight="1" thickBot="1">
      <c r="B70" s="258" t="s">
        <v>66</v>
      </c>
      <c r="C70" s="239">
        <f t="shared" ca="1" si="2"/>
        <v>4.4889396792400467</v>
      </c>
      <c r="D70" s="260"/>
      <c r="E70" s="259">
        <f>Commodity!C47*(1+$C$35+$C$36)*$C$22+
$F44*E$48*$C$23*(1+$C$35+$C$36)+
(E$49+E$50)*$C$24+
E$51*$C$25+
E$52*$C$26+
E$53*$C$28</f>
        <v>2.4215994282364779</v>
      </c>
      <c r="F70" s="259">
        <f>Commodity!D47*(1+$C$35+$C$36)*$C$22+
$F44*F$48*$C$23*(1+$C$35+$C$36)+
(F$49+F$50)*$C$24+
F$51*$C$25+
F$52*$C$26+
F$53*$C$28</f>
        <v>3.307575651846824</v>
      </c>
      <c r="G70" s="259">
        <f>Commodity!E47*(1+$C$35+$C$36)*$C$22+
$F44*G$48*$C$23*(1+$C$35+$C$36)+
(G$49+G$50)*$C$24+
G$51*$C$25+
G$52*$C$26+
G$53*$C$28</f>
        <v>4.2159170366563261</v>
      </c>
      <c r="H70" s="259">
        <f>Commodity!F47*(1+$C$35+$C$36)*$C$22+
$F44*H$48*$C$23*(1+$C$35+$C$36)+
(H$49+H$50)*$C$24+
H$51*$C$25+
H$52*$C$26+
H$53*$C$28</f>
        <v>4.4846633226288466</v>
      </c>
      <c r="I70" s="259">
        <f>Commodity!G47*(1+$C$35+$C$36)*$C$22+
$F44*I$48*$C$23*(1+$C$35+$C$36)+
(I$49+I$50)*$C$24+
I$51*$C$25+
I$52*$C$26+
I$53*$C$28</f>
        <v>4.755083652497837</v>
      </c>
      <c r="J70" s="259">
        <f>Commodity!H47*(1+$C$35+$C$36)*$C$22+
$F44*J$48*$C$23*(1+$C$35+$C$36)+
(J$49+J$50)*$C$24+
J$51*$C$25+
J$52*$C$26+
J$53*$C$28</f>
        <v>5.0272192514077831</v>
      </c>
      <c r="K70" s="259">
        <f>Commodity!I47*(1+$C$35+$C$36)*$C$22+
$F44*K$48*$C$23*(1+$C$35+$C$36)+
(K$49+K$50)*$C$24+
K$51*$C$25+
K$52*$C$26+
K$53*$C$28</f>
        <v>4.8979813217052248</v>
      </c>
      <c r="L70" s="259">
        <f>Commodity!J47*(1+$C$35+$C$36)*$C$22+
$F44*L$48*$C$23*(1+$C$35+$C$36)+
(L$49+L$50)*$C$24+
L$51*$C$25+
L$52*$C$26+
L$53*$C$28</f>
        <v>4.7704542438728437</v>
      </c>
      <c r="M70" s="259">
        <f>Commodity!K47*(1+$C$35+$C$36)*$C$22+
$F44*M$48*$C$23*(1+$C$35+$C$36)+
(M$49+M$50)*$C$24+
M$51*$C$25+
M$52*$C$26+
M$53*$C$28</f>
        <v>4.6454120818839897</v>
      </c>
      <c r="N70" s="259">
        <f>Commodity!L47*(1+$C$35+$C$36)*$C$22+
$F44*N$48*$C$23*(1+$C$35+$C$36)+
(N$49+N$50)*$C$24+
N$51*$C$25+
N$52*$C$26+
N$53*$C$28</f>
        <v>4.5219812334039426</v>
      </c>
      <c r="O70" s="259">
        <f>Commodity!M47*(1+$C$35+$C$36)*$C$22+
$F44*O$48*$C$23*(1+$C$35+$C$36)+
(O$49+O$50)*$C$24+
O$51*$C$25+
O$52*$C$26+
O$53*$C$28</f>
        <v>4.4010698543843656</v>
      </c>
      <c r="P70" s="259">
        <f>Commodity!N47*(1+$C$35+$C$36)*$C$22+
$F44*P$48*$C$23*(1+$C$35+$C$36)+
(P$49+P$50)*$C$24+
P$51*$C$25+
P$52*$C$26+
P$53*$C$28</f>
        <v>4.5329684737011959</v>
      </c>
      <c r="Q70" s="259">
        <f>Commodity!O47*(1+$C$35+$C$36)*$C$22+
$F44*Q$48*$C$23*(1+$C$35+$C$36)+
(Q$49+Q$50)*$C$24+
Q$51*$C$25+
Q$52*$C$26+
Q$53*$C$28</f>
        <v>4.6676406258614636</v>
      </c>
      <c r="R70" s="259">
        <f>Commodity!P47*(1+$C$35+$C$36)*$C$22+
$F44*R$48*$C$23*(1+$C$35+$C$36)+
(R$49+R$50)*$C$24+
R$51*$C$25+
R$52*$C$26+
R$53*$C$28</f>
        <v>4.8052024110310798</v>
      </c>
      <c r="S70" s="259">
        <f>Commodity!Q47*(1+$C$35+$C$36)*$C$22+
$F44*S$48*$C$23*(1+$C$35+$C$36)+
(S$49+S$50)*$C$24+
S$51*$C$25+
S$52*$C$26+
S$53*$C$28</f>
        <v>4.9456286971402728</v>
      </c>
      <c r="T70" s="259">
        <f>Commodity!R47*(1+$C$35+$C$36)*$C$22+
$F44*T$48*$C$23*(1+$C$35+$C$36)+
(T$49+T$50)*$C$24+
T$51*$C$25+
T$52*$C$26+
T$53*$C$28</f>
        <v>5.0895023640652024</v>
      </c>
      <c r="U70" s="259">
        <f>Commodity!S47*(1+$C$35+$C$36)*$C$22+
$F44*U$48*$C$23*(1+$C$35+$C$36)+
(U$49+U$50)*$C$24+
U$51*$C$25+
U$52*$C$26+
U$53*$C$28</f>
        <v>5.4793792780492669</v>
      </c>
      <c r="V70" s="259">
        <f>Commodity!T47*(1+$C$35+$C$36)*$C$22+
$F44*V$48*$C$23*(1+$C$35+$C$36)+
(V$49+V$50)*$C$24+
V$51*$C$25+
V$52*$C$26+
V$53*$C$28</f>
        <v>5.8727973349273199</v>
      </c>
      <c r="W70" s="259">
        <f>Commodity!U47*(1+$C$35+$C$36)*$C$22+
$F44*W$48*$C$23*(1+$C$35+$C$36)+
(W$49+W$50)*$C$24+
W$51*$C$25+
W$52*$C$26+
W$53*$C$28</f>
        <v>6.2698347302780464</v>
      </c>
      <c r="X70" s="259">
        <f>Commodity!V47*(1+$C$35+$C$36)*$C$22+
$F44*X$48*$C$23*(1+$C$35+$C$36)+
(X$49+X$50)*$C$24+
X$51*$C$25+
X$52*$C$26+
X$53*$C$28</f>
        <v>6.6708531013092651</v>
      </c>
      <c r="Y70" s="259">
        <f>Commodity!W47*(1+$C$35+$C$36)*$C$22+
$F44*Y$48*$C$23*(1+$C$35+$C$36)+
(Y$49+Y$50)*$C$24+
Y$51*$C$25+
Y$52*$C$26+
Y$53*$C$28</f>
        <v>6.8098928265133098</v>
      </c>
      <c r="Z70" s="259">
        <f>Commodity!X47*(1+$C$35+$C$36)*$C$22+
$F44*Z$48*$C$23*(1+$C$35+$C$36)+
(Z$49+Z$50)*$C$24+
Z$51*$C$25+
Z$52*$C$26+
Z$53*$C$28</f>
        <v>6.9516012692599132</v>
      </c>
      <c r="AA70" s="259">
        <f>Commodity!Y47*(1+$C$35+$C$36)*$C$22+
$F44*AA$48*$C$23*(1+$C$35+$C$36)+
(AA$49+AA$50)*$C$24+
AA$51*$C$25+
AA$52*$C$26+
AA$53*$C$28</f>
        <v>7.0960121986171236</v>
      </c>
      <c r="AB70" s="259">
        <f>Commodity!Z47*(1+$C$35+$C$36)*$C$22+
$F44*AB$48*$C$23*(1+$C$35+$C$36)+
(AB$49+AB$50)*$C$24+
AB$51*$C$25+
AB$52*$C$26+
AB$53*$C$28</f>
        <v>7.2431144203487277</v>
      </c>
      <c r="AC70" s="259">
        <f>Commodity!AA47*(1+$C$35+$C$36)*$C$22+
$F44*AC$48*$C$23*(1+$C$35+$C$36)+
(AC$49+AC$50)*$C$24+
AC$51*$C$25+
AC$52*$C$26+
AC$53*$C$28</f>
        <v>7.3929010891561964</v>
      </c>
      <c r="AD70" s="259">
        <f>Commodity!AB47*(1+$C$35+$C$36)*$C$22+
$F44*AD$48*$C$23*(1+$C$35+$C$36)+
(AD$49+AD$50)*$C$24+
AD$51*$C$25+
AD$52*$C$26+
AD$53*$C$28</f>
        <v>7.5432913397836234</v>
      </c>
      <c r="AE70" s="259">
        <f>Commodity!AC47*(1+$C$35+$C$36)*$C$22+
$F44*AE$48*$C$23*(1+$C$35+$C$36)+
(AE$49+AE$50)*$C$24+
AE$51*$C$25+
AE$52*$C$26+
AE$53*$C$28</f>
        <v>7.6972414392061097</v>
      </c>
      <c r="AF70" s="259">
        <f>Commodity!AD47*(1+$C$35+$C$36)*$C$22+
$F44*AF$48*$C$23*(1+$C$35+$C$36)+
(AF$49+AF$50)*$C$24+
AF$51*$C$25+
AF$52*$C$26+
AF$53*$C$28</f>
        <v>7.8536453907490307</v>
      </c>
      <c r="AG70" s="259">
        <f>Commodity!AE47*(1+$C$35+$C$36)*$C$22+
$F44*AG$48*$C$23*(1+$C$35+$C$36)+
(AG$49+AG$50)*$C$24+
AG$51*$C$25+
AG$52*$C$26+
AG$53*$C$28</f>
        <v>8.0123854751758365</v>
      </c>
      <c r="AH70" s="259">
        <f>Commodity!AF47*(1+$C$35+$C$36)*$C$22+
$F44*AH$48*$C$23*(1+$C$35+$C$36)+
(AH$49+AH$50)*$C$24+
AH$51*$C$25+
AH$52*$C$26+
AH$53*$C$28</f>
        <v>8.173472362162391</v>
      </c>
    </row>
    <row r="71" spans="1:35" ht="15" customHeight="1">
      <c r="B71" s="261" t="s">
        <v>432</v>
      </c>
      <c r="C71" s="239"/>
      <c r="E71" s="257">
        <f t="shared" ref="E71:AH71" si="3">AVERAGE(E59:E70)</f>
        <v>1.8971568472533751</v>
      </c>
      <c r="F71" s="257">
        <f t="shared" si="3"/>
        <v>2.7851506157588886</v>
      </c>
      <c r="G71" s="257">
        <f t="shared" si="3"/>
        <v>3.6829528777271654</v>
      </c>
      <c r="H71" s="257">
        <f t="shared" si="3"/>
        <v>3.9409865306668679</v>
      </c>
      <c r="I71" s="257">
        <f t="shared" si="3"/>
        <v>4.2005645829716745</v>
      </c>
      <c r="J71" s="257">
        <f t="shared" si="3"/>
        <v>4.4616088461324983</v>
      </c>
      <c r="K71" s="257">
        <f t="shared" si="3"/>
        <v>4.3209600863708246</v>
      </c>
      <c r="L71" s="257">
        <f t="shared" si="3"/>
        <v>4.1819975578076143</v>
      </c>
      <c r="M71" s="257">
        <f t="shared" si="3"/>
        <v>4.044984622618343</v>
      </c>
      <c r="N71" s="257">
        <f t="shared" si="3"/>
        <v>3.9097936352115759</v>
      </c>
      <c r="O71" s="257">
        <f t="shared" si="3"/>
        <v>3.7765729122232172</v>
      </c>
      <c r="P71" s="257">
        <f t="shared" si="3"/>
        <v>3.8957748906287453</v>
      </c>
      <c r="Q71" s="257">
        <f t="shared" si="3"/>
        <v>4.017612099348467</v>
      </c>
      <c r="R71" s="257">
        <f t="shared" si="3"/>
        <v>4.1420698732196595</v>
      </c>
      <c r="S71" s="257">
        <f t="shared" si="3"/>
        <v>4.2692437275470043</v>
      </c>
      <c r="T71" s="257">
        <f t="shared" si="3"/>
        <v>4.3994805075992982</v>
      </c>
      <c r="U71" s="257">
        <f t="shared" si="3"/>
        <v>4.7754655541256819</v>
      </c>
      <c r="V71" s="257">
        <f t="shared" si="3"/>
        <v>5.1547021764245153</v>
      </c>
      <c r="W71" s="257">
        <f t="shared" si="3"/>
        <v>5.5372817892758883</v>
      </c>
      <c r="X71" s="257">
        <f t="shared" si="3"/>
        <v>5.9235367203077232</v>
      </c>
      <c r="Y71" s="257">
        <f t="shared" si="3"/>
        <v>6.0475301500835386</v>
      </c>
      <c r="Z71" s="257">
        <f t="shared" si="3"/>
        <v>6.1738665860725241</v>
      </c>
      <c r="AA71" s="257">
        <f t="shared" si="3"/>
        <v>6.3026033732281528</v>
      </c>
      <c r="AB71" s="257">
        <f t="shared" si="3"/>
        <v>6.4337098056096957</v>
      </c>
      <c r="AC71" s="257">
        <f t="shared" si="3"/>
        <v>6.5671915666227916</v>
      </c>
      <c r="AD71" s="257">
        <f t="shared" si="3"/>
        <v>6.7010469871212637</v>
      </c>
      <c r="AE71" s="257">
        <f t="shared" si="3"/>
        <v>6.8381150354952007</v>
      </c>
      <c r="AF71" s="257">
        <f t="shared" si="3"/>
        <v>6.9772491560912648</v>
      </c>
      <c r="AG71" s="257">
        <f t="shared" si="3"/>
        <v>7.1184477185982438</v>
      </c>
      <c r="AH71" s="257">
        <f t="shared" si="3"/>
        <v>7.2616963679231263</v>
      </c>
    </row>
    <row r="72" spans="1:35" ht="15" customHeight="1">
      <c r="B72" s="40" t="s">
        <v>75</v>
      </c>
      <c r="C72" s="41">
        <f>MATCH($C$14,$E$58:$AH$58,0)-1</f>
        <v>0</v>
      </c>
    </row>
    <row r="73" spans="1:35" ht="15" customHeight="1">
      <c r="C73" s="17"/>
      <c r="D73" s="17"/>
      <c r="E73" s="28"/>
      <c r="F73" s="28"/>
      <c r="G73" s="28"/>
      <c r="H73" s="28"/>
      <c r="I73" s="28"/>
      <c r="J73" s="28"/>
      <c r="K73" s="28"/>
      <c r="L73" s="28"/>
      <c r="M73" s="28"/>
      <c r="N73" s="28"/>
      <c r="O73" s="28"/>
      <c r="P73" s="28"/>
      <c r="Q73" s="28"/>
      <c r="R73" s="28"/>
      <c r="S73" s="28"/>
      <c r="T73" s="28"/>
      <c r="U73" s="28"/>
      <c r="V73" s="28"/>
      <c r="W73" s="28"/>
      <c r="X73" s="28"/>
      <c r="Y73" s="28"/>
      <c r="Z73" s="28"/>
      <c r="AA73" s="28"/>
      <c r="AB73" s="28"/>
      <c r="AC73" s="28"/>
    </row>
    <row r="74" spans="1:35" ht="15" customHeight="1">
      <c r="A74" s="234"/>
      <c r="B74" s="234" t="s">
        <v>76</v>
      </c>
      <c r="C74" s="234"/>
      <c r="D74" s="234"/>
      <c r="E74" s="236"/>
      <c r="F74" s="236"/>
      <c r="G74" s="236"/>
      <c r="H74" s="236"/>
      <c r="I74" s="236"/>
      <c r="J74" s="236"/>
      <c r="K74" s="236"/>
      <c r="L74" s="236"/>
      <c r="M74" s="236"/>
      <c r="N74" s="236"/>
      <c r="O74" s="236"/>
      <c r="P74" s="236"/>
      <c r="Q74" s="236"/>
      <c r="R74" s="236"/>
      <c r="S74" s="236"/>
      <c r="T74" s="236"/>
      <c r="U74" s="236"/>
      <c r="V74" s="236"/>
      <c r="W74" s="236"/>
      <c r="X74" s="236"/>
      <c r="Y74" s="236"/>
      <c r="Z74" s="236"/>
      <c r="AA74" s="236"/>
      <c r="AB74" s="236"/>
      <c r="AC74" s="236"/>
      <c r="AD74" s="234"/>
      <c r="AE74" s="234"/>
      <c r="AF74" s="234"/>
      <c r="AG74" s="234"/>
      <c r="AH74" s="234"/>
      <c r="AI74" s="234"/>
    </row>
    <row r="75" spans="1:35" ht="15" customHeight="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row>
    <row r="76" spans="1:35" ht="15" customHeight="1">
      <c r="B76" s="234" t="s">
        <v>77</v>
      </c>
      <c r="C76" s="234" t="s">
        <v>74</v>
      </c>
      <c r="D76" s="234"/>
      <c r="E76" s="234">
        <f t="shared" ref="E76:AH76" si="4">E$46</f>
        <v>2026</v>
      </c>
      <c r="F76" s="234">
        <f t="shared" si="4"/>
        <v>2027</v>
      </c>
      <c r="G76" s="234">
        <f t="shared" si="4"/>
        <v>2028</v>
      </c>
      <c r="H76" s="234">
        <f t="shared" si="4"/>
        <v>2029</v>
      </c>
      <c r="I76" s="234">
        <f t="shared" si="4"/>
        <v>2030</v>
      </c>
      <c r="J76" s="234">
        <f t="shared" si="4"/>
        <v>2031</v>
      </c>
      <c r="K76" s="234">
        <f t="shared" si="4"/>
        <v>2032</v>
      </c>
      <c r="L76" s="234">
        <f t="shared" si="4"/>
        <v>2033</v>
      </c>
      <c r="M76" s="234">
        <f t="shared" si="4"/>
        <v>2034</v>
      </c>
      <c r="N76" s="234">
        <f t="shared" si="4"/>
        <v>2035</v>
      </c>
      <c r="O76" s="234">
        <f t="shared" si="4"/>
        <v>2036</v>
      </c>
      <c r="P76" s="234">
        <f t="shared" si="4"/>
        <v>2037</v>
      </c>
      <c r="Q76" s="234">
        <f t="shared" si="4"/>
        <v>2038</v>
      </c>
      <c r="R76" s="234">
        <f t="shared" si="4"/>
        <v>2039</v>
      </c>
      <c r="S76" s="234">
        <f t="shared" si="4"/>
        <v>2040</v>
      </c>
      <c r="T76" s="234">
        <f t="shared" si="4"/>
        <v>2041</v>
      </c>
      <c r="U76" s="234">
        <f t="shared" si="4"/>
        <v>2042</v>
      </c>
      <c r="V76" s="234">
        <f t="shared" si="4"/>
        <v>2043</v>
      </c>
      <c r="W76" s="234">
        <f t="shared" si="4"/>
        <v>2044</v>
      </c>
      <c r="X76" s="234">
        <f t="shared" si="4"/>
        <v>2045</v>
      </c>
      <c r="Y76" s="234">
        <f t="shared" si="4"/>
        <v>2046</v>
      </c>
      <c r="Z76" s="234">
        <f t="shared" si="4"/>
        <v>2047</v>
      </c>
      <c r="AA76" s="234">
        <f t="shared" si="4"/>
        <v>2048</v>
      </c>
      <c r="AB76" s="234">
        <f t="shared" si="4"/>
        <v>2049</v>
      </c>
      <c r="AC76" s="234">
        <f t="shared" si="4"/>
        <v>2050</v>
      </c>
      <c r="AD76" s="234">
        <f t="shared" si="4"/>
        <v>2051</v>
      </c>
      <c r="AE76" s="234">
        <f t="shared" si="4"/>
        <v>2052</v>
      </c>
      <c r="AF76" s="234">
        <f t="shared" si="4"/>
        <v>2053</v>
      </c>
      <c r="AG76" s="234">
        <f t="shared" si="4"/>
        <v>2054</v>
      </c>
      <c r="AH76" s="234">
        <f t="shared" si="4"/>
        <v>2055</v>
      </c>
    </row>
    <row r="77" spans="1:35" ht="15" customHeight="1">
      <c r="A77" s="39"/>
      <c r="B77" s="67" t="s">
        <v>52</v>
      </c>
      <c r="C77" s="91">
        <f t="shared" ref="C77:C88" ca="1" si="5">-PMT($C$17,$C$15,NPV($C$17,OFFSET(E77,0,$C$72,1,$C$15)))</f>
        <v>0.72549938250157442</v>
      </c>
      <c r="E77" s="91">
        <f>Commodity!C36*(1+$C$35+$C$36)*$C$22</f>
        <v>0.62210311971854204</v>
      </c>
      <c r="F77" s="91">
        <f>Commodity!D36*(1+$C$35+$C$36)*$C$22</f>
        <v>0.63489638989307973</v>
      </c>
      <c r="G77" s="91">
        <f>Commodity!E36*(1+$C$35+$C$36)*$C$22</f>
        <v>0.64770202522080156</v>
      </c>
      <c r="H77" s="91">
        <f>Commodity!F36*(1+$C$35+$C$36)*$C$22</f>
        <v>0.66083448012360135</v>
      </c>
      <c r="I77" s="91">
        <f>Commodity!G36*(1+$C$35+$C$36)*$C$22</f>
        <v>0.67428452378416004</v>
      </c>
      <c r="J77" s="91">
        <f>Commodity!H36*(1+$C$35+$C$36)*$C$22</f>
        <v>0.68793745864530009</v>
      </c>
      <c r="K77" s="91">
        <f>Commodity!I36*(1+$C$35+$C$36)*$C$22</f>
        <v>0.70201122549753026</v>
      </c>
      <c r="L77" s="91">
        <f>Commodity!J36*(1+$C$35+$C$36)*$C$22</f>
        <v>0.71668745525526611</v>
      </c>
      <c r="M77" s="91">
        <f>Commodity!K36*(1+$C$35+$C$36)*$C$22</f>
        <v>0.73160120075470358</v>
      </c>
      <c r="N77" s="91">
        <f>Commodity!L36*(1+$C$35+$C$36)*$C$22</f>
        <v>0.74721672916571669</v>
      </c>
      <c r="O77" s="91">
        <f>Commodity!M36*(1+$C$35+$C$36)*$C$22</f>
        <v>0.76273540090205572</v>
      </c>
      <c r="P77" s="91">
        <f>Commodity!N36*(1+$C$35+$C$36)*$C$22</f>
        <v>0.77879943653774963</v>
      </c>
      <c r="Q77" s="91">
        <f>Commodity!O36*(1+$C$35+$C$36)*$C$22</f>
        <v>0.7956823113443644</v>
      </c>
      <c r="R77" s="91">
        <f>Commodity!P36*(1+$C$35+$C$36)*$C$22</f>
        <v>0.81312116487854935</v>
      </c>
      <c r="S77" s="91">
        <f>Commodity!Q36*(1+$C$35+$C$36)*$C$22</f>
        <v>0.83108914797848843</v>
      </c>
      <c r="T77" s="91">
        <f>Commodity!R36*(1+$C$35+$C$36)*$C$22</f>
        <v>0.8492829239416565</v>
      </c>
      <c r="U77" s="91">
        <f>Commodity!S36*(1+$C$35+$C$36)*$C$22</f>
        <v>0.86785393103879072</v>
      </c>
      <c r="V77" s="91">
        <f>Commodity!T36*(1+$C$35+$C$36)*$C$22</f>
        <v>0.88688167506854676</v>
      </c>
      <c r="W77" s="91">
        <f>Commodity!U36*(1+$C$35+$C$36)*$C$22</f>
        <v>0.90638389395562813</v>
      </c>
      <c r="X77" s="91">
        <f>Commodity!V36*(1+$C$35+$C$36)*$C$22</f>
        <v>0.92628434513680302</v>
      </c>
      <c r="Y77" s="91">
        <f>Commodity!W36*(1+$C$35+$C$36)*$C$22</f>
        <v>0.94668623872745072</v>
      </c>
      <c r="Z77" s="91">
        <f>Commodity!X36*(1+$C$35+$C$36)*$C$22</f>
        <v>0.96758757282578955</v>
      </c>
      <c r="AA77" s="91">
        <f>Commodity!Y36*(1+$C$35+$C$36)*$C$22</f>
        <v>0.98904048795314037</v>
      </c>
      <c r="AB77" s="91">
        <f>Commodity!Z36*(1+$C$35+$C$36)*$C$22</f>
        <v>1.0109549963941156</v>
      </c>
      <c r="AC77" s="91">
        <f>Commodity!AA36*(1+$C$35+$C$36)*$C$22</f>
        <v>1.0333132678662422</v>
      </c>
      <c r="AD77" s="91">
        <f>Commodity!AB36*(1+$C$35+$C$36)*$C$22</f>
        <v>1.0539364699767106</v>
      </c>
      <c r="AE77" s="91">
        <f>Commodity!AC36*(1+$C$35+$C$36)*$C$22</f>
        <v>1.0758181641850382</v>
      </c>
      <c r="AF77" s="91">
        <f>Commodity!AD36*(1+$C$35+$C$36)*$C$22</f>
        <v>1.0976056071818396</v>
      </c>
      <c r="AG77" s="91">
        <f>Commodity!AE36*(1+$C$35+$C$36)*$C$22</f>
        <v>1.1193748371207992</v>
      </c>
      <c r="AH77" s="91">
        <f>Commodity!AF36*(1+$C$35+$C$36)*$C$22</f>
        <v>1.1410438653213979</v>
      </c>
    </row>
    <row r="78" spans="1:35" ht="15" customHeight="1">
      <c r="B78" s="67" t="s">
        <v>54</v>
      </c>
      <c r="C78" s="91">
        <f t="shared" ca="1" si="5"/>
        <v>0.70957460101247316</v>
      </c>
      <c r="E78" s="91">
        <f>Commodity!C37*(1+$C$35+$C$36)*$C$22</f>
        <v>0.60844287954353182</v>
      </c>
      <c r="F78" s="91">
        <f>Commodity!D37*(1+$C$35+$C$36)*$C$22</f>
        <v>0.62094794105805529</v>
      </c>
      <c r="G78" s="91">
        <f>Commodity!E37*(1+$C$35+$C$36)*$C$22</f>
        <v>0.63348672580967147</v>
      </c>
      <c r="H78" s="91">
        <f>Commodity!F37*(1+$C$35+$C$36)*$C$22</f>
        <v>0.64633848076942846</v>
      </c>
      <c r="I78" s="91">
        <f>Commodity!G37*(1+$C$35+$C$36)*$C$22</f>
        <v>0.65948612592676914</v>
      </c>
      <c r="J78" s="91">
        <f>Commodity!H37*(1+$C$35+$C$36)*$C$22</f>
        <v>0.67283812455886394</v>
      </c>
      <c r="K78" s="91">
        <f>Commodity!I37*(1+$C$35+$C$36)*$C$22</f>
        <v>0.68661702477086917</v>
      </c>
      <c r="L78" s="91">
        <f>Commodity!J37*(1+$C$35+$C$36)*$C$22</f>
        <v>0.70094799415099784</v>
      </c>
      <c r="M78" s="91">
        <f>Commodity!K37*(1+$C$35+$C$36)*$C$22</f>
        <v>0.71556347366244366</v>
      </c>
      <c r="N78" s="91">
        <f>Commodity!L37*(1+$C$35+$C$36)*$C$22</f>
        <v>0.7307857997865671</v>
      </c>
      <c r="O78" s="91">
        <f>Commodity!M37*(1+$C$35+$C$36)*$C$22</f>
        <v>0.74596939638441173</v>
      </c>
      <c r="P78" s="91">
        <f>Commodity!N37*(1+$C$35+$C$36)*$C$22</f>
        <v>0.76170846136806425</v>
      </c>
      <c r="Q78" s="91">
        <f>Commodity!O37*(1+$C$35+$C$36)*$C$22</f>
        <v>0.77822492343296101</v>
      </c>
      <c r="R78" s="91">
        <f>Commodity!P37*(1+$C$35+$C$36)*$C$22</f>
        <v>0.7952854433854124</v>
      </c>
      <c r="S78" s="91">
        <f>Commodity!Q37*(1+$C$35+$C$36)*$C$22</f>
        <v>0.81284265009755485</v>
      </c>
      <c r="T78" s="91">
        <f>Commodity!R37*(1+$C$35+$C$36)*$C$22</f>
        <v>0.83064185300815163</v>
      </c>
      <c r="U78" s="91">
        <f>Commodity!S37*(1+$C$35+$C$36)*$C$22</f>
        <v>0.8488069638490312</v>
      </c>
      <c r="V78" s="91">
        <f>Commodity!T37*(1+$C$35+$C$36)*$C$22</f>
        <v>0.86742007261059617</v>
      </c>
      <c r="W78" s="91">
        <f>Commodity!U37*(1+$C$35+$C$36)*$C$22</f>
        <v>0.88649524317887263</v>
      </c>
      <c r="X78" s="91">
        <f>Commodity!V37*(1+$C$35+$C$36)*$C$22</f>
        <v>0.9059626622741711</v>
      </c>
      <c r="Y78" s="91">
        <f>Commodity!W37*(1+$C$35+$C$36)*$C$22</f>
        <v>0.92591757744400527</v>
      </c>
      <c r="Z78" s="91">
        <f>Commodity!X37*(1+$C$35+$C$36)*$C$22</f>
        <v>0.9463644076566945</v>
      </c>
      <c r="AA78" s="91">
        <f>Commodity!Y37*(1+$C$35+$C$36)*$C$22</f>
        <v>0.96734872888150114</v>
      </c>
      <c r="AB78" s="91">
        <f>Commodity!Z37*(1+$C$35+$C$36)*$C$22</f>
        <v>0.98878566289085468</v>
      </c>
      <c r="AC78" s="91">
        <f>Commodity!AA37*(1+$C$35+$C$36)*$C$22</f>
        <v>1.0106548029889664</v>
      </c>
      <c r="AD78" s="91">
        <f>Commodity!AB37*(1+$C$35+$C$36)*$C$22</f>
        <v>1.0308296694754762</v>
      </c>
      <c r="AE78" s="91">
        <f>Commodity!AC37*(1+$C$35+$C$36)*$C$22</f>
        <v>1.0522309192744008</v>
      </c>
      <c r="AF78" s="91">
        <f>Commodity!AD37*(1+$C$35+$C$36)*$C$22</f>
        <v>1.0735531589838243</v>
      </c>
      <c r="AG78" s="91">
        <f>Commodity!AE37*(1+$C$35+$C$36)*$C$22</f>
        <v>1.0948492644431931</v>
      </c>
      <c r="AH78" s="91">
        <f>Commodity!AF37*(1+$C$35+$C$36)*$C$22</f>
        <v>1.1160429267146914</v>
      </c>
    </row>
    <row r="79" spans="1:35" ht="15" customHeight="1">
      <c r="B79" s="67" t="s">
        <v>56</v>
      </c>
      <c r="C79" s="91">
        <f t="shared" ca="1" si="5"/>
        <v>0.65137464494700636</v>
      </c>
      <c r="E79" s="91">
        <f>Commodity!C38*(1+$C$35+$C$36)*$C$22</f>
        <v>0.5585332337406852</v>
      </c>
      <c r="F79" s="91">
        <f>Commodity!D38*(1+$C$35+$C$36)*$C$22</f>
        <v>0.57000582920082354</v>
      </c>
      <c r="G79" s="91">
        <f>Commodity!E38*(1+$C$35+$C$36)*$C$22</f>
        <v>0.58152923998808792</v>
      </c>
      <c r="H79" s="91">
        <f>Commodity!F38*(1+$C$35+$C$36)*$C$22</f>
        <v>0.59333382195373985</v>
      </c>
      <c r="I79" s="91">
        <f>Commodity!G38*(1+$C$35+$C$36)*$C$22</f>
        <v>0.60539650361693187</v>
      </c>
      <c r="J79" s="91">
        <f>Commodity!H38*(1+$C$35+$C$36)*$C$22</f>
        <v>0.61765220876715965</v>
      </c>
      <c r="K79" s="91">
        <f>Commodity!I38*(1+$C$35+$C$36)*$C$22</f>
        <v>0.63031385393753503</v>
      </c>
      <c r="L79" s="91">
        <f>Commodity!J38*(1+$C$35+$C$36)*$C$22</f>
        <v>0.64344816153537454</v>
      </c>
      <c r="M79" s="91">
        <f>Commodity!K38*(1+$C$35+$C$36)*$C$22</f>
        <v>0.65689157567798595</v>
      </c>
      <c r="N79" s="91">
        <f>Commodity!L38*(1+$C$35+$C$36)*$C$22</f>
        <v>0.67081904369501466</v>
      </c>
      <c r="O79" s="91">
        <f>Commodity!M38*(1+$C$35+$C$36)*$C$22</f>
        <v>0.68476237360534342</v>
      </c>
      <c r="P79" s="91">
        <f>Commodity!N38*(1+$C$35+$C$36)*$C$22</f>
        <v>0.69923587924702035</v>
      </c>
      <c r="Q79" s="91">
        <f>Commodity!O38*(1+$C$35+$C$36)*$C$22</f>
        <v>0.71440147266939258</v>
      </c>
      <c r="R79" s="91">
        <f>Commodity!P38*(1+$C$35+$C$36)*$C$22</f>
        <v>0.73006675962921341</v>
      </c>
      <c r="S79" s="91">
        <f>Commodity!Q38*(1+$C$35+$C$36)*$C$22</f>
        <v>0.74616887207490301</v>
      </c>
      <c r="T79" s="91">
        <f>Commodity!R38*(1+$C$35+$C$36)*$C$22</f>
        <v>0.76251255857189459</v>
      </c>
      <c r="U79" s="91">
        <f>Commodity!S38*(1+$C$35+$C$36)*$C$22</f>
        <v>0.779189347162211</v>
      </c>
      <c r="V79" s="91">
        <f>Commodity!T38*(1+$C$35+$C$36)*$C$22</f>
        <v>0.79627856952947607</v>
      </c>
      <c r="W79" s="91">
        <f>Commodity!U38*(1+$C$35+$C$36)*$C$22</f>
        <v>0.81379012034492049</v>
      </c>
      <c r="X79" s="91">
        <f>Commodity!V38*(1+$C$35+$C$36)*$C$22</f>
        <v>0.83166427874601179</v>
      </c>
      <c r="Y79" s="91">
        <f>Commodity!W38*(1+$C$35+$C$36)*$C$22</f>
        <v>0.84998324947091619</v>
      </c>
      <c r="Z79" s="91">
        <f>Commodity!X38*(1+$C$35+$C$36)*$C$22</f>
        <v>0.8687569437145618</v>
      </c>
      <c r="AA79" s="91">
        <f>Commodity!Y38*(1+$C$35+$C$36)*$C$22</f>
        <v>0.888022223090006</v>
      </c>
      <c r="AB79" s="91">
        <f>Commodity!Z38*(1+$C$35+$C$36)*$C$22</f>
        <v>0.90770404872133215</v>
      </c>
      <c r="AC79" s="91">
        <f>Commodity!AA38*(1+$C$35+$C$36)*$C$22</f>
        <v>0.92778096295303436</v>
      </c>
      <c r="AD79" s="91">
        <f>Commodity!AB38*(1+$C$35+$C$36)*$C$22</f>
        <v>0.94630505824211464</v>
      </c>
      <c r="AE79" s="91">
        <f>Commodity!AC38*(1+$C$35+$C$36)*$C$22</f>
        <v>0.9659508302935097</v>
      </c>
      <c r="AF79" s="91">
        <f>Commodity!AD38*(1+$C$35+$C$36)*$C$22</f>
        <v>0.98553616625701779</v>
      </c>
      <c r="AG79" s="91">
        <f>Commodity!AE38*(1+$C$35+$C$36)*$C$22</f>
        <v>1.005089872020646</v>
      </c>
      <c r="AH79" s="91">
        <f>Commodity!AF38*(1+$C$35+$C$36)*$C$22</f>
        <v>1.0245454598898442</v>
      </c>
    </row>
    <row r="80" spans="1:35" ht="15" customHeight="1">
      <c r="B80" s="67" t="s">
        <v>58</v>
      </c>
      <c r="C80" s="91">
        <f t="shared" ca="1" si="5"/>
        <v>0.64027476129402638</v>
      </c>
      <c r="E80" s="91">
        <f>Commodity!C39*(1+$C$35+$C$36)*$C$22</f>
        <v>0.54901090534647634</v>
      </c>
      <c r="F80" s="91">
        <f>Commodity!D39*(1+$C$35+$C$36)*$C$22</f>
        <v>0.56028132498149785</v>
      </c>
      <c r="G80" s="91">
        <f>Commodity!E39*(1+$C$35+$C$36)*$C$22</f>
        <v>0.57162121634608709</v>
      </c>
      <c r="H80" s="91">
        <f>Commodity!F39*(1+$C$35+$C$36)*$C$22</f>
        <v>0.58323146223648792</v>
      </c>
      <c r="I80" s="91">
        <f>Commodity!G39*(1+$C$35+$C$36)*$C$22</f>
        <v>0.59508211693148216</v>
      </c>
      <c r="J80" s="91">
        <f>Commodity!H39*(1+$C$35+$C$36)*$C$22</f>
        <v>0.6071278452935277</v>
      </c>
      <c r="K80" s="91">
        <f>Commodity!I39*(1+$C$35+$C$36)*$C$22</f>
        <v>0.61958641184940333</v>
      </c>
      <c r="L80" s="91">
        <f>Commodity!J39*(1+$C$35+$C$36)*$C$22</f>
        <v>0.63247603781641282</v>
      </c>
      <c r="M80" s="91">
        <f>Commodity!K39*(1+$C$35+$C$36)*$C$22</f>
        <v>0.64571662467053448</v>
      </c>
      <c r="N80" s="91">
        <f>Commodity!L39*(1+$C$35+$C$36)*$C$22</f>
        <v>0.65936123278394543</v>
      </c>
      <c r="O80" s="91">
        <f>Commodity!M39*(1+$C$35+$C$36)*$C$22</f>
        <v>0.67307197793816242</v>
      </c>
      <c r="P80" s="91">
        <f>Commodity!N39*(1+$C$35+$C$36)*$C$22</f>
        <v>0.68732378893504142</v>
      </c>
      <c r="Q80" s="91">
        <f>Commodity!O39*(1+$C$35+$C$36)*$C$22</f>
        <v>0.70223471188271869</v>
      </c>
      <c r="R80" s="91">
        <f>Commodity!P39*(1+$C$35+$C$36)*$C$22</f>
        <v>0.71763706861907317</v>
      </c>
      <c r="S80" s="91">
        <f>Commodity!Q39*(1+$C$35+$C$36)*$C$22</f>
        <v>0.7334500077866305</v>
      </c>
      <c r="T80" s="91">
        <f>Commodity!R39*(1+$C$35+$C$36)*$C$22</f>
        <v>0.74951950254170885</v>
      </c>
      <c r="U80" s="91">
        <f>Commodity!S39*(1+$C$35+$C$36)*$C$22</f>
        <v>0.76591367659828768</v>
      </c>
      <c r="V80" s="91">
        <f>Commodity!T39*(1+$C$35+$C$36)*$C$22</f>
        <v>0.78271441735380498</v>
      </c>
      <c r="W80" s="91">
        <f>Commodity!U39*(1+$C$35+$C$36)*$C$22</f>
        <v>0.7999284861757131</v>
      </c>
      <c r="X80" s="91">
        <f>Commodity!V39*(1+$C$35+$C$36)*$C$22</f>
        <v>0.81750147232867187</v>
      </c>
      <c r="Y80" s="91">
        <f>Commodity!W39*(1+$C$35+$C$36)*$C$22</f>
        <v>0.83550903764531737</v>
      </c>
      <c r="Z80" s="91">
        <f>Commodity!X39*(1+$C$35+$C$36)*$C$22</f>
        <v>0.85396668010791377</v>
      </c>
      <c r="AA80" s="91">
        <f>Commodity!Y39*(1+$C$35+$C$36)*$C$22</f>
        <v>0.87290574114725072</v>
      </c>
      <c r="AB80" s="91">
        <f>Commodity!Z39*(1+$C$35+$C$36)*$C$22</f>
        <v>0.89225528950977018</v>
      </c>
      <c r="AC80" s="91">
        <f>Commodity!AA39*(1+$C$35+$C$36)*$C$22</f>
        <v>0.91199155452902914</v>
      </c>
      <c r="AD80" s="91">
        <f>Commodity!AB39*(1+$C$35+$C$36)*$C$22</f>
        <v>0.93020390845641909</v>
      </c>
      <c r="AE80" s="91">
        <f>Commodity!AC39*(1+$C$35+$C$36)*$C$22</f>
        <v>0.94951477713036903</v>
      </c>
      <c r="AF80" s="91">
        <f>Commodity!AD39*(1+$C$35+$C$36)*$C$22</f>
        <v>0.96877812862960067</v>
      </c>
      <c r="AG80" s="91">
        <f>Commodity!AE39*(1+$C$35+$C$36)*$C$22</f>
        <v>0.98800287859702729</v>
      </c>
      <c r="AH80" s="91">
        <f>Commodity!AF39*(1+$C$35+$C$36)*$C$22</f>
        <v>1.0071271744167811</v>
      </c>
    </row>
    <row r="81" spans="2:34" ht="15" customHeight="1">
      <c r="B81" s="67" t="s">
        <v>59</v>
      </c>
      <c r="C81" s="91">
        <f t="shared" ca="1" si="5"/>
        <v>0.66254118812582419</v>
      </c>
      <c r="E81" s="91">
        <f>Commodity!C40*(1+$C$35+$C$36)*$C$22</f>
        <v>0.56809882128776801</v>
      </c>
      <c r="F81" s="91">
        <f>Commodity!D40*(1+$C$35+$C$36)*$C$22</f>
        <v>0.57975427736193974</v>
      </c>
      <c r="G81" s="91">
        <f>Commodity!E40*(1+$C$35+$C$36)*$C$22</f>
        <v>0.59150182510556093</v>
      </c>
      <c r="H81" s="91">
        <f>Commodity!F40*(1+$C$35+$C$36)*$C$22</f>
        <v>0.60352289364755418</v>
      </c>
      <c r="I81" s="91">
        <f>Commodity!G40*(1+$C$35+$C$36)*$C$22</f>
        <v>0.61577897472315379</v>
      </c>
      <c r="J81" s="91">
        <f>Commodity!H40*(1+$C$35+$C$36)*$C$22</f>
        <v>0.6282424392844691</v>
      </c>
      <c r="K81" s="91">
        <f>Commodity!I40*(1+$C$35+$C$36)*$C$22</f>
        <v>0.64114739711120339</v>
      </c>
      <c r="L81" s="91">
        <f>Commodity!J40*(1+$C$35+$C$36)*$C$22</f>
        <v>0.654463685144831</v>
      </c>
      <c r="M81" s="91">
        <f>Commodity!K40*(1+$C$35+$C$36)*$C$22</f>
        <v>0.66819190622924829</v>
      </c>
      <c r="N81" s="91">
        <f>Commodity!L40*(1+$C$35+$C$36)*$C$22</f>
        <v>0.68226390858398456</v>
      </c>
      <c r="O81" s="91">
        <f>Commodity!M40*(1+$C$35+$C$36)*$C$22</f>
        <v>0.69645665825633896</v>
      </c>
      <c r="P81" s="91">
        <f>Commodity!N40*(1+$C$35+$C$36)*$C$22</f>
        <v>0.71122991043551043</v>
      </c>
      <c r="Q81" s="91">
        <f>Commodity!O40*(1+$C$35+$C$36)*$C$22</f>
        <v>0.72666327432701361</v>
      </c>
      <c r="R81" s="91">
        <f>Commodity!P40*(1+$C$35+$C$36)*$C$22</f>
        <v>0.74260542658506912</v>
      </c>
      <c r="S81" s="91">
        <f>Commodity!Q40*(1+$C$35+$C$36)*$C$22</f>
        <v>0.75895298421025048</v>
      </c>
      <c r="T81" s="91">
        <f>Commodity!R40*(1+$C$35+$C$36)*$C$22</f>
        <v>0.77558578444454318</v>
      </c>
      <c r="U81" s="91">
        <f>Commodity!S40*(1+$C$35+$C$36)*$C$22</f>
        <v>0.79255171275250558</v>
      </c>
      <c r="V81" s="91">
        <f>Commodity!T40*(1+$C$35+$C$36)*$C$22</f>
        <v>0.80993954829469295</v>
      </c>
      <c r="W81" s="91">
        <f>Commodity!U40*(1+$C$35+$C$36)*$C$22</f>
        <v>0.82775321936866209</v>
      </c>
      <c r="X81" s="91">
        <f>Commodity!V40*(1+$C$35+$C$36)*$C$22</f>
        <v>0.84594086534647284</v>
      </c>
      <c r="Y81" s="91">
        <f>Commodity!W40*(1+$C$35+$C$36)*$C$22</f>
        <v>0.86457545768636956</v>
      </c>
      <c r="Z81" s="91">
        <f>Commodity!X40*(1+$C$35+$C$36)*$C$22</f>
        <v>0.8836789899783476</v>
      </c>
      <c r="AA81" s="91">
        <f>Commodity!Y40*(1+$C$35+$C$36)*$C$22</f>
        <v>0.90327883075133686</v>
      </c>
      <c r="AB81" s="91">
        <f>Commodity!Z40*(1+$C$35+$C$36)*$C$22</f>
        <v>0.92330450970084077</v>
      </c>
      <c r="AC81" s="91">
        <f>Commodity!AA40*(1+$C$35+$C$36)*$C$22</f>
        <v>0.9437286573113427</v>
      </c>
      <c r="AD81" s="91">
        <f>Commodity!AB40*(1+$C$35+$C$36)*$C$22</f>
        <v>0.96257842989513742</v>
      </c>
      <c r="AE81" s="91">
        <f>Commodity!AC40*(1+$C$35+$C$36)*$C$22</f>
        <v>0.98256073038650849</v>
      </c>
      <c r="AF81" s="91">
        <f>Commodity!AD40*(1+$C$35+$C$36)*$C$22</f>
        <v>1.0025061653815133</v>
      </c>
      <c r="AG81" s="91">
        <f>Commodity!AE40*(1+$C$35+$C$36)*$C$22</f>
        <v>1.0224038838630578</v>
      </c>
      <c r="AH81" s="91">
        <f>Commodity!AF40*(1+$C$35+$C$36)*$C$22</f>
        <v>1.0421935065651229</v>
      </c>
    </row>
    <row r="82" spans="2:34" ht="15" customHeight="1">
      <c r="B82" s="67" t="s">
        <v>60</v>
      </c>
      <c r="C82" s="91">
        <f t="shared" ca="1" si="5"/>
        <v>0.67965186967115865</v>
      </c>
      <c r="E82" s="91">
        <f>Commodity!C41*(1+$C$35+$C$36)*$C$22</f>
        <v>0.58276564187290136</v>
      </c>
      <c r="F82" s="91">
        <f>Commodity!D41*(1+$C$35+$C$36)*$C$22</f>
        <v>0.59471502276474231</v>
      </c>
      <c r="G82" s="91">
        <f>Commodity!E41*(1+$C$35+$C$36)*$C$22</f>
        <v>0.60677960221031757</v>
      </c>
      <c r="H82" s="91">
        <f>Commodity!F41*(1+$C$35+$C$36)*$C$22</f>
        <v>0.61911836878142257</v>
      </c>
      <c r="I82" s="91">
        <f>Commodity!G41*(1+$C$35+$C$36)*$C$22</f>
        <v>0.63168410328659053</v>
      </c>
      <c r="J82" s="91">
        <f>Commodity!H41*(1+$C$35+$C$36)*$C$22</f>
        <v>0.64446824646911149</v>
      </c>
      <c r="K82" s="91">
        <f>Commodity!I41*(1+$C$35+$C$36)*$C$22</f>
        <v>0.65771995414535256</v>
      </c>
      <c r="L82" s="91">
        <f>Commodity!J41*(1+$C$35+$C$36)*$C$22</f>
        <v>0.67135799362979698</v>
      </c>
      <c r="M82" s="91">
        <f>Commodity!K41*(1+$C$35+$C$36)*$C$22</f>
        <v>0.68546863788452028</v>
      </c>
      <c r="N82" s="91">
        <f>Commodity!L41*(1+$C$35+$C$36)*$C$22</f>
        <v>0.69985572260217144</v>
      </c>
      <c r="O82" s="91">
        <f>Commodity!M41*(1+$C$35+$C$36)*$C$22</f>
        <v>0.71442034148820432</v>
      </c>
      <c r="P82" s="91">
        <f>Commodity!N41*(1+$C$35+$C$36)*$C$22</f>
        <v>0.72960161059261397</v>
      </c>
      <c r="Q82" s="91">
        <f>Commodity!O41*(1+$C$35+$C$36)*$C$22</f>
        <v>0.74543754841908294</v>
      </c>
      <c r="R82" s="91">
        <f>Commodity!P41*(1+$C$35+$C$36)*$C$22</f>
        <v>0.76179568565895084</v>
      </c>
      <c r="S82" s="91">
        <f>Commodity!Q41*(1+$C$35+$C$36)*$C$22</f>
        <v>0.77854973742800304</v>
      </c>
      <c r="T82" s="91">
        <f>Commodity!R41*(1+$C$35+$C$36)*$C$22</f>
        <v>0.79561667656260271</v>
      </c>
      <c r="U82" s="91">
        <f>Commodity!S41*(1+$C$35+$C$36)*$C$22</f>
        <v>0.81302243089026727</v>
      </c>
      <c r="V82" s="91">
        <f>Commodity!T41*(1+$C$35+$C$36)*$C$22</f>
        <v>0.83086222138361943</v>
      </c>
      <c r="W82" s="91">
        <f>Commodity!U41*(1+$C$35+$C$36)*$C$22</f>
        <v>0.84913692992353651</v>
      </c>
      <c r="X82" s="91">
        <f>Commodity!V41*(1+$C$35+$C$36)*$C$22</f>
        <v>0.86779791419255614</v>
      </c>
      <c r="Y82" s="91">
        <f>Commodity!W41*(1+$C$35+$C$36)*$C$22</f>
        <v>0.8869145704103536</v>
      </c>
      <c r="Z82" s="91">
        <f>Commodity!X41*(1+$C$35+$C$36)*$C$22</f>
        <v>0.9065155714718619</v>
      </c>
      <c r="AA82" s="91">
        <f>Commodity!Y41*(1+$C$35+$C$36)*$C$22</f>
        <v>0.92662379842723919</v>
      </c>
      <c r="AB82" s="91">
        <f>Commodity!Z41*(1+$C$35+$C$36)*$C$22</f>
        <v>0.94716996471131998</v>
      </c>
      <c r="AC82" s="91">
        <f>Commodity!AA41*(1+$C$35+$C$36)*$C$22</f>
        <v>0.96812314979920655</v>
      </c>
      <c r="AD82" s="91">
        <f>Commodity!AB41*(1+$C$35+$C$36)*$C$22</f>
        <v>0.9874638981989442</v>
      </c>
      <c r="AE82" s="91">
        <f>Commodity!AC41*(1+$C$35+$C$36)*$C$22</f>
        <v>1.0079621250357838</v>
      </c>
      <c r="AF82" s="91">
        <f>Commodity!AD41*(1+$C$35+$C$36)*$C$22</f>
        <v>1.0284351579105897</v>
      </c>
      <c r="AG82" s="91">
        <f>Commodity!AE41*(1+$C$35+$C$36)*$C$22</f>
        <v>1.0488512675861299</v>
      </c>
      <c r="AH82" s="91">
        <f>Commodity!AF41*(1+$C$35+$C$36)*$C$22</f>
        <v>1.0691522339125417</v>
      </c>
    </row>
    <row r="83" spans="2:34" ht="15" customHeight="1">
      <c r="B83" s="67" t="s">
        <v>61</v>
      </c>
      <c r="C83" s="91">
        <f t="shared" ca="1" si="5"/>
        <v>0.68502636452537857</v>
      </c>
      <c r="E83" s="91">
        <f>Commodity!C42*(1+$C$35+$C$36)*$C$22</f>
        <v>0.58736914148439701</v>
      </c>
      <c r="F83" s="91">
        <f>Commodity!D42*(1+$C$35+$C$36)*$C$22</f>
        <v>0.59940587059265726</v>
      </c>
      <c r="G83" s="91">
        <f>Commodity!E42*(1+$C$35+$C$36)*$C$22</f>
        <v>0.61157960447953907</v>
      </c>
      <c r="H83" s="91">
        <f>Commodity!F42*(1+$C$35+$C$36)*$C$22</f>
        <v>0.62402324465134196</v>
      </c>
      <c r="I83" s="91">
        <f>Commodity!G42*(1+$C$35+$C$36)*$C$22</f>
        <v>0.63668142003599659</v>
      </c>
      <c r="J83" s="91">
        <f>Commodity!H42*(1+$C$35+$C$36)*$C$22</f>
        <v>0.64956544615202749</v>
      </c>
      <c r="K83" s="91">
        <f>Commodity!I42*(1+$C$35+$C$36)*$C$22</f>
        <v>0.66293552141500722</v>
      </c>
      <c r="L83" s="91">
        <f>Commodity!J42*(1+$C$35+$C$36)*$C$22</f>
        <v>0.6766590756267532</v>
      </c>
      <c r="M83" s="91">
        <f>Commodity!K42*(1+$C$35+$C$36)*$C$22</f>
        <v>0.69090940747302043</v>
      </c>
      <c r="N83" s="91">
        <f>Commodity!L42*(1+$C$35+$C$36)*$C$22</f>
        <v>0.70536153348787167</v>
      </c>
      <c r="O83" s="91">
        <f>Commodity!M42*(1+$C$35+$C$36)*$C$22</f>
        <v>0.72004669768703466</v>
      </c>
      <c r="P83" s="91">
        <f>Commodity!N42*(1+$C$35+$C$36)*$C$22</f>
        <v>0.73537471431166512</v>
      </c>
      <c r="Q83" s="91">
        <f>Commodity!O42*(1+$C$35+$C$36)*$C$22</f>
        <v>0.75133990476184309</v>
      </c>
      <c r="R83" s="91">
        <f>Commodity!P42*(1+$C$35+$C$36)*$C$22</f>
        <v>0.76783169737260926</v>
      </c>
      <c r="S83" s="91">
        <f>Commodity!Q42*(1+$C$35+$C$36)*$C$22</f>
        <v>0.78470241396925655</v>
      </c>
      <c r="T83" s="91">
        <f>Commodity!R42*(1+$C$35+$C$36)*$C$22</f>
        <v>0.80190893338796465</v>
      </c>
      <c r="U83" s="91">
        <f>Commodity!S42*(1+$C$35+$C$36)*$C$22</f>
        <v>0.81945400760611042</v>
      </c>
      <c r="V83" s="91">
        <f>Commodity!T42*(1+$C$35+$C$36)*$C$22</f>
        <v>0.83743779296479803</v>
      </c>
      <c r="W83" s="91">
        <f>Commodity!U42*(1+$C$35+$C$36)*$C$22</f>
        <v>0.8558580051308049</v>
      </c>
      <c r="X83" s="91">
        <f>Commodity!V42*(1+$C$35+$C$36)*$C$22</f>
        <v>0.8746702114505972</v>
      </c>
      <c r="Y83" s="91">
        <f>Commodity!W42*(1+$C$35+$C$36)*$C$22</f>
        <v>0.89393885320673461</v>
      </c>
      <c r="Z83" s="91">
        <f>Commodity!X42*(1+$C$35+$C$36)*$C$22</f>
        <v>0.91369899048887415</v>
      </c>
      <c r="AA83" s="91">
        <f>Commodity!Y42*(1+$C$35+$C$36)*$C$22</f>
        <v>0.93396844921038824</v>
      </c>
      <c r="AB83" s="91">
        <f>Commodity!Z42*(1+$C$35+$C$36)*$C$22</f>
        <v>0.95468042276141296</v>
      </c>
      <c r="AC83" s="91">
        <f>Commodity!AA42*(1+$C$35+$C$36)*$C$22</f>
        <v>0.97580087906084501</v>
      </c>
      <c r="AD83" s="91">
        <f>Commodity!AB42*(1+$C$35+$C$36)*$C$22</f>
        <v>0.99529876676777906</v>
      </c>
      <c r="AE83" s="91">
        <f>Commodity!AC42*(1+$C$35+$C$36)*$C$22</f>
        <v>1.0159589534010036</v>
      </c>
      <c r="AF83" s="91">
        <f>Commodity!AD42*(1+$C$35+$C$36)*$C$22</f>
        <v>1.0366064719987125</v>
      </c>
      <c r="AG83" s="91">
        <f>Commodity!AE42*(1+$C$35+$C$36)*$C$22</f>
        <v>1.0571885787568616</v>
      </c>
      <c r="AH83" s="91">
        <f>Commodity!AF42*(1+$C$35+$C$36)*$C$22</f>
        <v>1.0776503415074192</v>
      </c>
    </row>
    <row r="84" spans="2:34" ht="15" customHeight="1">
      <c r="B84" s="67" t="s">
        <v>62</v>
      </c>
      <c r="C84" s="91">
        <f t="shared" ca="1" si="5"/>
        <v>0.67971782445750539</v>
      </c>
      <c r="E84" s="91">
        <f>Commodity!C43*(1+$C$35+$C$36)*$C$22</f>
        <v>0.58281257640546613</v>
      </c>
      <c r="F84" s="91">
        <f>Commodity!D43*(1+$C$35+$C$36)*$C$22</f>
        <v>0.59474893844075216</v>
      </c>
      <c r="G84" s="91">
        <f>Commodity!E43*(1+$C$35+$C$36)*$C$22</f>
        <v>0.60684197968298093</v>
      </c>
      <c r="H84" s="91">
        <f>Commodity!F43*(1+$C$35+$C$36)*$C$22</f>
        <v>0.61919643567950411</v>
      </c>
      <c r="I84" s="91">
        <f>Commodity!G43*(1+$C$35+$C$36)*$C$22</f>
        <v>0.63174964520560051</v>
      </c>
      <c r="J84" s="91">
        <f>Commodity!H43*(1+$C$35+$C$36)*$C$22</f>
        <v>0.64453262667242284</v>
      </c>
      <c r="K84" s="91">
        <f>Commodity!I43*(1+$C$35+$C$36)*$C$22</f>
        <v>0.65781256536718402</v>
      </c>
      <c r="L84" s="91">
        <f>Commodity!J43*(1+$C$35+$C$36)*$C$22</f>
        <v>0.67140760936859689</v>
      </c>
      <c r="M84" s="91">
        <f>Commodity!K43*(1+$C$35+$C$36)*$C$22</f>
        <v>0.68557540032653264</v>
      </c>
      <c r="N84" s="91">
        <f>Commodity!L43*(1+$C$35+$C$36)*$C$22</f>
        <v>0.69986717450462232</v>
      </c>
      <c r="O84" s="91">
        <f>Commodity!M43*(1+$C$35+$C$36)*$C$22</f>
        <v>0.71444386907062096</v>
      </c>
      <c r="P84" s="91">
        <f>Commodity!N43*(1+$C$35+$C$36)*$C$22</f>
        <v>0.72967959784153047</v>
      </c>
      <c r="Q84" s="91">
        <f>Commodity!O43*(1+$C$35+$C$36)*$C$22</f>
        <v>0.74552506355925718</v>
      </c>
      <c r="R84" s="91">
        <f>Commodity!P43*(1+$C$35+$C$36)*$C$22</f>
        <v>0.76189332184940473</v>
      </c>
      <c r="S84" s="91">
        <f>Commodity!Q43*(1+$C$35+$C$36)*$C$22</f>
        <v>0.77861759961077293</v>
      </c>
      <c r="T84" s="91">
        <f>Commodity!R43*(1+$C$35+$C$36)*$C$22</f>
        <v>0.79569536348015091</v>
      </c>
      <c r="U84" s="91">
        <f>Commodity!S43*(1+$C$35+$C$36)*$C$22</f>
        <v>0.81310614129347136</v>
      </c>
      <c r="V84" s="91">
        <f>Commodity!T43*(1+$C$35+$C$36)*$C$22</f>
        <v>0.83095346377635904</v>
      </c>
      <c r="W84" s="91">
        <f>Commodity!U43*(1+$C$35+$C$36)*$C$22</f>
        <v>0.84923191527648367</v>
      </c>
      <c r="X84" s="91">
        <f>Commodity!V43*(1+$C$35+$C$36)*$C$22</f>
        <v>0.8679019667906227</v>
      </c>
      <c r="Y84" s="91">
        <f>Commodity!W43*(1+$C$35+$C$36)*$C$22</f>
        <v>0.88702209843282287</v>
      </c>
      <c r="Z84" s="91">
        <f>Commodity!X43*(1+$C$35+$C$36)*$C$22</f>
        <v>0.90663321213883241</v>
      </c>
      <c r="AA84" s="91">
        <f>Commodity!Y43*(1+$C$35+$C$36)*$C$22</f>
        <v>0.92674779948535546</v>
      </c>
      <c r="AB84" s="91">
        <f>Commodity!Z43*(1+$C$35+$C$36)*$C$22</f>
        <v>0.94730257636760928</v>
      </c>
      <c r="AC84" s="91">
        <f>Commodity!AA43*(1+$C$35+$C$36)*$C$22</f>
        <v>0.96826092922203144</v>
      </c>
      <c r="AD84" s="91">
        <f>Commodity!AB43*(1+$C$35+$C$36)*$C$22</f>
        <v>0.98761188625423679</v>
      </c>
      <c r="AE84" s="91">
        <f>Commodity!AC43*(1+$C$35+$C$36)*$C$22</f>
        <v>1.0081118355716054</v>
      </c>
      <c r="AF84" s="91">
        <f>Commodity!AD43*(1+$C$35+$C$36)*$C$22</f>
        <v>1.0286118432637275</v>
      </c>
      <c r="AG84" s="91">
        <f>Commodity!AE43*(1+$C$35+$C$36)*$C$22</f>
        <v>1.0490389687306654</v>
      </c>
      <c r="AH84" s="91">
        <f>Commodity!AF43*(1+$C$35+$C$36)*$C$22</f>
        <v>1.0693424253188399</v>
      </c>
    </row>
    <row r="85" spans="2:34" ht="15" customHeight="1">
      <c r="B85" s="67" t="s">
        <v>63</v>
      </c>
      <c r="C85" s="91">
        <f t="shared" ca="1" si="5"/>
        <v>0.68926107314380269</v>
      </c>
      <c r="E85" s="91">
        <f>Commodity!C44*(1+$C$35+$C$36)*$C$22</f>
        <v>0.59099039630776518</v>
      </c>
      <c r="F85" s="91">
        <f>Commodity!D44*(1+$C$35+$C$36)*$C$22</f>
        <v>0.60308715484050346</v>
      </c>
      <c r="G85" s="91">
        <f>Commodity!E44*(1+$C$35+$C$36)*$C$22</f>
        <v>0.61536382245743415</v>
      </c>
      <c r="H85" s="91">
        <f>Commodity!F44*(1+$C$35+$C$36)*$C$22</f>
        <v>0.62789908444706166</v>
      </c>
      <c r="I85" s="91">
        <f>Commodity!G44*(1+$C$35+$C$36)*$C$22</f>
        <v>0.64062157114307272</v>
      </c>
      <c r="J85" s="91">
        <f>Commodity!H44*(1+$C$35+$C$36)*$C$22</f>
        <v>0.65358280759828569</v>
      </c>
      <c r="K85" s="91">
        <f>Commodity!I44*(1+$C$35+$C$36)*$C$22</f>
        <v>0.66706286127227232</v>
      </c>
      <c r="L85" s="91">
        <f>Commodity!J44*(1+$C$35+$C$36)*$C$22</f>
        <v>0.68082630477039652</v>
      </c>
      <c r="M85" s="91">
        <f>Commodity!K44*(1+$C$35+$C$36)*$C$22</f>
        <v>0.69522129768791752</v>
      </c>
      <c r="N85" s="91">
        <f>Commodity!L44*(1+$C$35+$C$36)*$C$22</f>
        <v>0.70966468646649661</v>
      </c>
      <c r="O85" s="91">
        <f>Commodity!M44*(1+$C$35+$C$36)*$C$22</f>
        <v>0.72445144513895032</v>
      </c>
      <c r="P85" s="91">
        <f>Commodity!N44*(1+$C$35+$C$36)*$C$22</f>
        <v>0.73992795438847003</v>
      </c>
      <c r="Q85" s="91">
        <f>Commodity!O44*(1+$C$35+$C$36)*$C$22</f>
        <v>0.75599994317402208</v>
      </c>
      <c r="R85" s="91">
        <f>Commodity!P44*(1+$C$35+$C$36)*$C$22</f>
        <v>0.77260233965338398</v>
      </c>
      <c r="S85" s="91">
        <f>Commodity!Q44*(1+$C$35+$C$36)*$C$22</f>
        <v>0.78954550296188708</v>
      </c>
      <c r="T85" s="91">
        <f>Commodity!R44*(1+$C$35+$C$36)*$C$22</f>
        <v>0.80686768846217938</v>
      </c>
      <c r="U85" s="91">
        <f>Commodity!S44*(1+$C$35+$C$36)*$C$22</f>
        <v>0.82452460481014955</v>
      </c>
      <c r="V85" s="91">
        <f>Commodity!T44*(1+$C$35+$C$36)*$C$22</f>
        <v>0.84262544568016196</v>
      </c>
      <c r="W85" s="91">
        <f>Commodity!U44*(1+$C$35+$C$36)*$C$22</f>
        <v>0.86116152572056082</v>
      </c>
      <c r="X85" s="91">
        <f>Commodity!V44*(1+$C$35+$C$36)*$C$22</f>
        <v>0.8800973848997935</v>
      </c>
      <c r="Y85" s="91">
        <f>Commodity!W44*(1+$C$35+$C$36)*$C$22</f>
        <v>0.89948678517690317</v>
      </c>
      <c r="Z85" s="91">
        <f>Commodity!X44*(1+$C$35+$C$36)*$C$22</f>
        <v>0.91937740296078074</v>
      </c>
      <c r="AA85" s="91">
        <f>Commodity!Y44*(1+$C$35+$C$36)*$C$22</f>
        <v>0.93977663534943412</v>
      </c>
      <c r="AB85" s="91">
        <f>Commodity!Z44*(1+$C$35+$C$36)*$C$22</f>
        <v>0.96062335712006952</v>
      </c>
      <c r="AC85" s="91">
        <f>Commodity!AA44*(1+$C$35+$C$36)*$C$22</f>
        <v>0.98187755510842989</v>
      </c>
      <c r="AD85" s="91">
        <f>Commodity!AB44*(1+$C$35+$C$36)*$C$22</f>
        <v>1.001504425100058</v>
      </c>
      <c r="AE85" s="91">
        <f>Commodity!AC44*(1+$C$35+$C$36)*$C$22</f>
        <v>1.0222920587664857</v>
      </c>
      <c r="AF85" s="91">
        <f>Commodity!AD44*(1+$C$35+$C$36)*$C$22</f>
        <v>1.0430925588924578</v>
      </c>
      <c r="AG85" s="91">
        <f>Commodity!AE44*(1+$C$35+$C$36)*$C$22</f>
        <v>1.0638110631476509</v>
      </c>
      <c r="AH85" s="91">
        <f>Commodity!AF44*(1+$C$35+$C$36)*$C$22</f>
        <v>1.0843998443906242</v>
      </c>
    </row>
    <row r="86" spans="2:34" ht="15" customHeight="1">
      <c r="B86" s="67" t="s">
        <v>64</v>
      </c>
      <c r="C86" s="91">
        <f t="shared" ca="1" si="5"/>
        <v>0.68527172512328172</v>
      </c>
      <c r="E86" s="91">
        <f>Commodity!C45*(1+$C$35+$C$36)*$C$22</f>
        <v>0.58756497537399976</v>
      </c>
      <c r="F86" s="91">
        <f>Commodity!D45*(1+$C$35+$C$36)*$C$22</f>
        <v>0.59958456998171705</v>
      </c>
      <c r="G86" s="91">
        <f>Commodity!E45*(1+$C$35+$C$36)*$C$22</f>
        <v>0.61180394357897194</v>
      </c>
      <c r="H86" s="91">
        <f>Commodity!F45*(1+$C$35+$C$36)*$C$22</f>
        <v>0.62427396088982168</v>
      </c>
      <c r="I86" s="91">
        <f>Commodity!G45*(1+$C$35+$C$36)*$C$22</f>
        <v>0.63691588091215012</v>
      </c>
      <c r="J86" s="91">
        <f>Commodity!H45*(1+$C$35+$C$36)*$C$22</f>
        <v>0.64980088813905423</v>
      </c>
      <c r="K86" s="91">
        <f>Commodity!I45*(1+$C$35+$C$36)*$C$22</f>
        <v>0.66321650829894641</v>
      </c>
      <c r="L86" s="91">
        <f>Commodity!J45*(1+$C$35+$C$36)*$C$22</f>
        <v>0.67687794282951363</v>
      </c>
      <c r="M86" s="91">
        <f>Commodity!K45*(1+$C$35+$C$36)*$C$22</f>
        <v>0.69121774554147575</v>
      </c>
      <c r="N86" s="91">
        <f>Commodity!L45*(1+$C$35+$C$36)*$C$22</f>
        <v>0.70552877313458473</v>
      </c>
      <c r="O86" s="91">
        <f>Commodity!M45*(1+$C$35+$C$36)*$C$22</f>
        <v>0.72023532460668938</v>
      </c>
      <c r="P86" s="91">
        <f>Commodity!N45*(1+$C$35+$C$36)*$C$22</f>
        <v>0.73564897664141438</v>
      </c>
      <c r="Q86" s="91">
        <f>Commodity!O45*(1+$C$35+$C$36)*$C$22</f>
        <v>0.75163197254588265</v>
      </c>
      <c r="R86" s="91">
        <f>Commodity!P45*(1+$C$35+$C$36)*$C$22</f>
        <v>0.76814257976778744</v>
      </c>
      <c r="S86" s="91">
        <f>Commodity!Q45*(1+$C$35+$C$36)*$C$22</f>
        <v>0.78497184484685389</v>
      </c>
      <c r="T86" s="91">
        <f>Commodity!R45*(1+$C$35+$C$36)*$C$22</f>
        <v>0.80219839520215985</v>
      </c>
      <c r="U86" s="91">
        <f>Commodity!S45*(1+$C$35+$C$36)*$C$22</f>
        <v>0.81975479714008148</v>
      </c>
      <c r="V86" s="91">
        <f>Commodity!T45*(1+$C$35+$C$36)*$C$22</f>
        <v>0.8377537979129519</v>
      </c>
      <c r="W86" s="91">
        <f>Commodity!U45*(1+$C$35+$C$36)*$C$22</f>
        <v>0.85618358683226581</v>
      </c>
      <c r="X86" s="91">
        <f>Commodity!V45*(1+$C$35+$C$36)*$C$22</f>
        <v>0.8750135069197944</v>
      </c>
      <c r="Y86" s="91">
        <f>Commodity!W45*(1+$C$35+$C$36)*$C$22</f>
        <v>0.89429150106988131</v>
      </c>
      <c r="Z86" s="91">
        <f>Commodity!X45*(1+$C$35+$C$36)*$C$22</f>
        <v>0.91407113490020708</v>
      </c>
      <c r="AA86" s="91">
        <f>Commodity!Y45*(1+$C$35+$C$36)*$C$22</f>
        <v>0.93435452263063712</v>
      </c>
      <c r="AB86" s="91">
        <f>Commodity!Z45*(1+$C$35+$C$36)*$C$22</f>
        <v>0.95508392298453237</v>
      </c>
      <c r="AC86" s="91">
        <f>Commodity!AA45*(1+$C$35+$C$36)*$C$22</f>
        <v>0.97621668515752513</v>
      </c>
      <c r="AD86" s="91">
        <f>Commodity!AB45*(1+$C$35+$C$36)*$C$22</f>
        <v>0.99573415886905248</v>
      </c>
      <c r="AE86" s="91">
        <f>Commodity!AC45*(1+$C$35+$C$36)*$C$22</f>
        <v>1.016401342089869</v>
      </c>
      <c r="AF86" s="91">
        <f>Commodity!AD45*(1+$C$35+$C$36)*$C$22</f>
        <v>1.0370940521536902</v>
      </c>
      <c r="AG86" s="91">
        <f>Commodity!AE45*(1+$C$35+$C$36)*$C$22</f>
        <v>1.0576971962925974</v>
      </c>
      <c r="AH86" s="91">
        <f>Commodity!AF45*(1+$C$35+$C$36)*$C$22</f>
        <v>1.0781670748307024</v>
      </c>
    </row>
    <row r="87" spans="2:34" ht="15" customHeight="1">
      <c r="B87" s="67" t="s">
        <v>65</v>
      </c>
      <c r="C87" s="91">
        <f t="shared" ca="1" si="5"/>
        <v>0.7191242016343028</v>
      </c>
      <c r="E87" s="91">
        <f>Commodity!C46*(1+$C$35+$C$36)*$C$22</f>
        <v>0.61658564053571407</v>
      </c>
      <c r="F87" s="91">
        <f>Commodity!D46*(1+$C$35+$C$36)*$C$22</f>
        <v>0.62919150029787052</v>
      </c>
      <c r="G87" s="91">
        <f>Commodity!E46*(1+$C$35+$C$36)*$C$22</f>
        <v>0.64202895531060922</v>
      </c>
      <c r="H87" s="91">
        <f>Commodity!F46*(1+$C$35+$C$36)*$C$22</f>
        <v>0.65512266216782278</v>
      </c>
      <c r="I87" s="91">
        <f>Commodity!G46*(1+$C$35+$C$36)*$C$22</f>
        <v>0.6683818199917031</v>
      </c>
      <c r="J87" s="91">
        <f>Commodity!H46*(1+$C$35+$C$36)*$C$22</f>
        <v>0.68190207618475296</v>
      </c>
      <c r="K87" s="91">
        <f>Commodity!I46*(1+$C$35+$C$36)*$C$22</f>
        <v>0.69599468932836273</v>
      </c>
      <c r="L87" s="91">
        <f>Commodity!J46*(1+$C$35+$C$36)*$C$22</f>
        <v>0.71030754457895762</v>
      </c>
      <c r="M87" s="91">
        <f>Commodity!K46*(1+$C$35+$C$36)*$C$22</f>
        <v>0.72538525408976895</v>
      </c>
      <c r="N87" s="91">
        <f>Commodity!L46*(1+$C$35+$C$36)*$C$22</f>
        <v>0.74035206683852961</v>
      </c>
      <c r="O87" s="91">
        <f>Commodity!M46*(1+$C$35+$C$36)*$C$22</f>
        <v>0.75579076597639971</v>
      </c>
      <c r="P87" s="91">
        <f>Commodity!N46*(1+$C$35+$C$36)*$C$22</f>
        <v>0.77199389598650603</v>
      </c>
      <c r="Q87" s="91">
        <f>Commodity!O46*(1+$C$35+$C$36)*$C$22</f>
        <v>0.78877068233529679</v>
      </c>
      <c r="R87" s="91">
        <f>Commodity!P46*(1+$C$35+$C$36)*$C$22</f>
        <v>0.806101431143884</v>
      </c>
      <c r="S87" s="91">
        <f>Commodity!Q46*(1+$C$35+$C$36)*$C$22</f>
        <v>0.82374544527432469</v>
      </c>
      <c r="T87" s="91">
        <f>Commodity!R46*(1+$C$35+$C$36)*$C$22</f>
        <v>0.84182784087558937</v>
      </c>
      <c r="U87" s="91">
        <f>Commodity!S46*(1+$C$35+$C$36)*$C$22</f>
        <v>0.86025329511901527</v>
      </c>
      <c r="V87" s="91">
        <f>Commodity!T46*(1+$C$35+$C$36)*$C$22</f>
        <v>0.87914451791500514</v>
      </c>
      <c r="W87" s="91">
        <f>Commodity!U46*(1+$C$35+$C$36)*$C$22</f>
        <v>0.8984857821957779</v>
      </c>
      <c r="X87" s="91">
        <f>Commodity!V46*(1+$C$35+$C$36)*$C$22</f>
        <v>0.91824974212360755</v>
      </c>
      <c r="Y87" s="91">
        <f>Commodity!W46*(1+$C$35+$C$36)*$C$22</f>
        <v>0.9384809282088693</v>
      </c>
      <c r="Z87" s="91">
        <f>Commodity!X46*(1+$C$35+$C$36)*$C$22</f>
        <v>0.95924202279830117</v>
      </c>
      <c r="AA87" s="91">
        <f>Commodity!Y46*(1+$C$35+$C$36)*$C$22</f>
        <v>0.9805297448896716</v>
      </c>
      <c r="AB87" s="91">
        <f>Commodity!Z46*(1+$C$35+$C$36)*$C$22</f>
        <v>1.0022866810629347</v>
      </c>
      <c r="AC87" s="91">
        <f>Commodity!AA46*(1+$C$35+$C$36)*$C$22</f>
        <v>1.0244650621842732</v>
      </c>
      <c r="AD87" s="91">
        <f>Commodity!AB46*(1+$C$35+$C$36)*$C$22</f>
        <v>1.0449511100911004</v>
      </c>
      <c r="AE87" s="91">
        <f>Commodity!AC46*(1+$C$35+$C$36)*$C$22</f>
        <v>1.0666391126182024</v>
      </c>
      <c r="AF87" s="91">
        <f>Commodity!AD46*(1+$C$35+$C$36)*$C$22</f>
        <v>1.0883672687710846</v>
      </c>
      <c r="AG87" s="91">
        <f>Commodity!AE46*(1+$C$35+$C$36)*$C$22</f>
        <v>1.1099929912582738</v>
      </c>
      <c r="AH87" s="91">
        <f>Commodity!AF46*(1+$C$35+$C$36)*$C$22</f>
        <v>1.131474358704865</v>
      </c>
    </row>
    <row r="88" spans="2:34" ht="15" customHeight="1">
      <c r="B88" s="68" t="s">
        <v>66</v>
      </c>
      <c r="C88" s="91">
        <f t="shared" ca="1" si="5"/>
        <v>0.7248899674710334</v>
      </c>
      <c r="E88" s="91">
        <f>Commodity!C47*(1+$C$35+$C$36)*$C$22</f>
        <v>0.62152414489906005</v>
      </c>
      <c r="F88" s="91">
        <f>Commodity!D47*(1+$C$35+$C$36)*$C$22</f>
        <v>0.63422351049387871</v>
      </c>
      <c r="G88" s="91">
        <f>Commodity!E47*(1+$C$35+$C$36)*$C$22</f>
        <v>0.64717845432391541</v>
      </c>
      <c r="H88" s="91">
        <f>Commodity!F47*(1+$C$35+$C$36)*$C$22</f>
        <v>0.66038487564718895</v>
      </c>
      <c r="I88" s="91">
        <f>Commodity!G47*(1+$C$35+$C$36)*$C$22</f>
        <v>0.67374300888760486</v>
      </c>
      <c r="J88" s="91">
        <f>Commodity!H47*(1+$C$35+$C$36)*$C$22</f>
        <v>0.6873703855016674</v>
      </c>
      <c r="K88" s="91">
        <f>Commodity!I47*(1+$C$35+$C$36)*$C$22</f>
        <v>0.70159036642230932</v>
      </c>
      <c r="L88" s="91">
        <f>Commodity!J47*(1+$C$35+$C$36)*$C$22</f>
        <v>0.71599433227285036</v>
      </c>
      <c r="M88" s="91">
        <f>Commodity!K47*(1+$C$35+$C$36)*$C$22</f>
        <v>0.73122269136798701</v>
      </c>
      <c r="N88" s="91">
        <f>Commodity!L47*(1+$C$35+$C$36)*$C$22</f>
        <v>0.74625790641973622</v>
      </c>
      <c r="O88" s="91">
        <f>Commodity!M47*(1+$C$35+$C$36)*$C$22</f>
        <v>0.76182607824294224</v>
      </c>
      <c r="P88" s="91">
        <f>Commodity!N47*(1+$C$35+$C$36)*$C$22</f>
        <v>0.77818739208300414</v>
      </c>
      <c r="Q88" s="91">
        <f>Commodity!O47*(1+$C$35+$C$36)*$C$22</f>
        <v>0.79510295437827372</v>
      </c>
      <c r="R88" s="91">
        <f>Commodity!P47*(1+$C$35+$C$36)*$C$22</f>
        <v>0.81257721011496975</v>
      </c>
      <c r="S88" s="91">
        <f>Commodity!Q47*(1+$C$35+$C$36)*$C$22</f>
        <v>0.83034593628382902</v>
      </c>
      <c r="T88" s="91">
        <f>Commodity!R47*(1+$C$35+$C$36)*$C$22</f>
        <v>0.84857820408988194</v>
      </c>
      <c r="U88" s="91">
        <f>Commodity!S47*(1+$C$35+$C$36)*$C$22</f>
        <v>0.86715316829096056</v>
      </c>
      <c r="V88" s="91">
        <f>Commodity!T47*(1+$C$35+$C$36)*$C$22</f>
        <v>0.88619895140894989</v>
      </c>
      <c r="W88" s="91">
        <f>Commodity!U47*(1+$C$35+$C$36)*$C$22</f>
        <v>0.90569634017485456</v>
      </c>
      <c r="X88" s="91">
        <f>Commodity!V47*(1+$C$35+$C$36)*$C$22</f>
        <v>0.92562263444161552</v>
      </c>
      <c r="Y88" s="91">
        <f>Commodity!W47*(1+$C$35+$C$36)*$C$22</f>
        <v>0.94601689385451238</v>
      </c>
      <c r="Z88" s="91">
        <f>Commodity!X47*(1+$C$35+$C$36)*$C$22</f>
        <v>0.96694882667353454</v>
      </c>
      <c r="AA88" s="91">
        <f>Commodity!Y47*(1+$C$35+$C$36)*$C$22</f>
        <v>0.98840958108399812</v>
      </c>
      <c r="AB88" s="91">
        <f>Commodity!Z47*(1+$C$35+$C$36)*$C$22</f>
        <v>1.0103444895493068</v>
      </c>
      <c r="AC88" s="91">
        <f>Commodity!AA47*(1+$C$35+$C$36)*$C$22</f>
        <v>1.032702364004543</v>
      </c>
      <c r="AD88" s="91">
        <f>Commodity!AB47*(1+$C$35+$C$36)*$C$22</f>
        <v>1.0533571095720793</v>
      </c>
      <c r="AE88" s="91">
        <f>Commodity!AC47*(1+$C$35+$C$36)*$C$22</f>
        <v>1.0752188590128691</v>
      </c>
      <c r="AF88" s="91">
        <f>Commodity!AD47*(1+$C$35+$C$36)*$C$22</f>
        <v>1.0971345587538448</v>
      </c>
      <c r="AG88" s="91">
        <f>Commodity!AE47*(1+$C$35+$C$36)*$C$22</f>
        <v>1.1189384915220495</v>
      </c>
      <c r="AH88" s="91">
        <f>Commodity!AF47*(1+$C$35+$C$36)*$C$22</f>
        <v>1.1405923689962234</v>
      </c>
    </row>
    <row r="89" spans="2:34" ht="15" customHeight="1">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row>
    <row r="90" spans="2:34" ht="15" customHeight="1">
      <c r="B90" s="234" t="s">
        <v>40</v>
      </c>
      <c r="C90" s="234" t="s">
        <v>74</v>
      </c>
      <c r="D90" s="234"/>
      <c r="E90" s="234">
        <f t="shared" ref="E90:AH90" si="6">E$46</f>
        <v>2026</v>
      </c>
      <c r="F90" s="234">
        <f t="shared" si="6"/>
        <v>2027</v>
      </c>
      <c r="G90" s="234">
        <f t="shared" si="6"/>
        <v>2028</v>
      </c>
      <c r="H90" s="234">
        <f t="shared" si="6"/>
        <v>2029</v>
      </c>
      <c r="I90" s="234">
        <f t="shared" si="6"/>
        <v>2030</v>
      </c>
      <c r="J90" s="234">
        <f t="shared" si="6"/>
        <v>2031</v>
      </c>
      <c r="K90" s="234">
        <f t="shared" si="6"/>
        <v>2032</v>
      </c>
      <c r="L90" s="234">
        <f t="shared" si="6"/>
        <v>2033</v>
      </c>
      <c r="M90" s="234">
        <f t="shared" si="6"/>
        <v>2034</v>
      </c>
      <c r="N90" s="234">
        <f t="shared" si="6"/>
        <v>2035</v>
      </c>
      <c r="O90" s="234">
        <f t="shared" si="6"/>
        <v>2036</v>
      </c>
      <c r="P90" s="234">
        <f t="shared" si="6"/>
        <v>2037</v>
      </c>
      <c r="Q90" s="234">
        <f t="shared" si="6"/>
        <v>2038</v>
      </c>
      <c r="R90" s="234">
        <f t="shared" si="6"/>
        <v>2039</v>
      </c>
      <c r="S90" s="234">
        <f t="shared" si="6"/>
        <v>2040</v>
      </c>
      <c r="T90" s="234">
        <f t="shared" si="6"/>
        <v>2041</v>
      </c>
      <c r="U90" s="234">
        <f t="shared" si="6"/>
        <v>2042</v>
      </c>
      <c r="V90" s="234">
        <f t="shared" si="6"/>
        <v>2043</v>
      </c>
      <c r="W90" s="234">
        <f t="shared" si="6"/>
        <v>2044</v>
      </c>
      <c r="X90" s="234">
        <f t="shared" si="6"/>
        <v>2045</v>
      </c>
      <c r="Y90" s="234">
        <f t="shared" si="6"/>
        <v>2046</v>
      </c>
      <c r="Z90" s="234">
        <f t="shared" si="6"/>
        <v>2047</v>
      </c>
      <c r="AA90" s="234">
        <f t="shared" si="6"/>
        <v>2048</v>
      </c>
      <c r="AB90" s="234">
        <f t="shared" si="6"/>
        <v>2049</v>
      </c>
      <c r="AC90" s="234">
        <f t="shared" si="6"/>
        <v>2050</v>
      </c>
      <c r="AD90" s="234">
        <f t="shared" si="6"/>
        <v>2051</v>
      </c>
      <c r="AE90" s="234">
        <f t="shared" si="6"/>
        <v>2052</v>
      </c>
      <c r="AF90" s="234">
        <f t="shared" si="6"/>
        <v>2053</v>
      </c>
      <c r="AG90" s="234">
        <f t="shared" si="6"/>
        <v>2054</v>
      </c>
      <c r="AH90" s="234">
        <f t="shared" si="6"/>
        <v>2055</v>
      </c>
    </row>
    <row r="91" spans="2:34" ht="15" customHeight="1">
      <c r="B91" s="67" t="s">
        <v>52</v>
      </c>
      <c r="C91" s="91">
        <f t="shared" ref="C91:C102" ca="1" si="7">-PMT($C$17,$C$15,NPV($C$17,OFFSET(E91,0,$C$72,1,$C$15)))</f>
        <v>0.95669442618805711</v>
      </c>
      <c r="E91" s="91">
        <f t="shared" ref="E91:AH91" si="8">$F33*E$48*$C$23*(1+$C$35+$C$36)</f>
        <v>0.84440324421783153</v>
      </c>
      <c r="F91" s="91">
        <f t="shared" si="8"/>
        <v>0.83989437671945633</v>
      </c>
      <c r="G91" s="91">
        <f t="shared" si="8"/>
        <v>0.85669226425384537</v>
      </c>
      <c r="H91" s="91">
        <f t="shared" si="8"/>
        <v>0.87382610953892226</v>
      </c>
      <c r="I91" s="91">
        <f t="shared" si="8"/>
        <v>0.89130263172970081</v>
      </c>
      <c r="J91" s="91">
        <f t="shared" si="8"/>
        <v>0.90912868436429473</v>
      </c>
      <c r="K91" s="91">
        <f t="shared" si="8"/>
        <v>0.92731125805158077</v>
      </c>
      <c r="L91" s="91">
        <f t="shared" si="8"/>
        <v>0.9458574832126122</v>
      </c>
      <c r="M91" s="91">
        <f t="shared" si="8"/>
        <v>0.96477463287686449</v>
      </c>
      <c r="N91" s="91">
        <f t="shared" si="8"/>
        <v>0.98407012553440176</v>
      </c>
      <c r="O91" s="91">
        <f t="shared" si="8"/>
        <v>1.0037515280450899</v>
      </c>
      <c r="P91" s="91">
        <f t="shared" si="8"/>
        <v>1.0238265586059916</v>
      </c>
      <c r="Q91" s="91">
        <f t="shared" si="8"/>
        <v>1.0443030897781116</v>
      </c>
      <c r="R91" s="91">
        <f t="shared" si="8"/>
        <v>1.0651891515736736</v>
      </c>
      <c r="S91" s="91">
        <f t="shared" si="8"/>
        <v>1.0864929346051471</v>
      </c>
      <c r="T91" s="91">
        <f t="shared" si="8"/>
        <v>1.1082227932972499</v>
      </c>
      <c r="U91" s="91">
        <f t="shared" si="8"/>
        <v>1.1303872491631952</v>
      </c>
      <c r="V91" s="91">
        <f t="shared" si="8"/>
        <v>1.152994994146459</v>
      </c>
      <c r="W91" s="91">
        <f t="shared" si="8"/>
        <v>1.1760548940293882</v>
      </c>
      <c r="X91" s="91">
        <f t="shared" si="8"/>
        <v>1.1995759919099758</v>
      </c>
      <c r="Y91" s="91">
        <f t="shared" si="8"/>
        <v>1.2235675117481755</v>
      </c>
      <c r="Z91" s="91">
        <f t="shared" si="8"/>
        <v>1.2480388619831388</v>
      </c>
      <c r="AA91" s="91">
        <f t="shared" si="8"/>
        <v>1.2729996392228018</v>
      </c>
      <c r="AB91" s="91">
        <f t="shared" si="8"/>
        <v>1.2984596320072577</v>
      </c>
      <c r="AC91" s="91">
        <f t="shared" si="8"/>
        <v>1.3244288246474025</v>
      </c>
      <c r="AD91" s="91">
        <f t="shared" si="8"/>
        <v>1.3509174011403509</v>
      </c>
      <c r="AE91" s="91">
        <f t="shared" si="8"/>
        <v>1.3779357491631581</v>
      </c>
      <c r="AF91" s="91">
        <f t="shared" si="8"/>
        <v>1.4054944641464209</v>
      </c>
      <c r="AG91" s="91">
        <f t="shared" si="8"/>
        <v>1.4336043534293497</v>
      </c>
      <c r="AH91" s="91">
        <f t="shared" si="8"/>
        <v>1.4622764404979363</v>
      </c>
    </row>
    <row r="92" spans="2:34" ht="15" customHeight="1">
      <c r="B92" s="67" t="s">
        <v>54</v>
      </c>
      <c r="C92" s="91">
        <f t="shared" ca="1" si="7"/>
        <v>0.95669442618805711</v>
      </c>
      <c r="E92" s="91">
        <f t="shared" ref="E92:AH92" si="9">$F34*E$48*$C$23*(1+$C$35+$C$36)</f>
        <v>0.84440324421783153</v>
      </c>
      <c r="F92" s="91">
        <f t="shared" si="9"/>
        <v>0.83989437671945633</v>
      </c>
      <c r="G92" s="91">
        <f t="shared" si="9"/>
        <v>0.85669226425384537</v>
      </c>
      <c r="H92" s="91">
        <f t="shared" si="9"/>
        <v>0.87382610953892226</v>
      </c>
      <c r="I92" s="91">
        <f t="shared" si="9"/>
        <v>0.89130263172970081</v>
      </c>
      <c r="J92" s="91">
        <f t="shared" si="9"/>
        <v>0.90912868436429473</v>
      </c>
      <c r="K92" s="91">
        <f t="shared" si="9"/>
        <v>0.92731125805158077</v>
      </c>
      <c r="L92" s="91">
        <f t="shared" si="9"/>
        <v>0.9458574832126122</v>
      </c>
      <c r="M92" s="91">
        <f t="shared" si="9"/>
        <v>0.96477463287686449</v>
      </c>
      <c r="N92" s="91">
        <f t="shared" si="9"/>
        <v>0.98407012553440176</v>
      </c>
      <c r="O92" s="91">
        <f t="shared" si="9"/>
        <v>1.0037515280450899</v>
      </c>
      <c r="P92" s="91">
        <f t="shared" si="9"/>
        <v>1.0238265586059916</v>
      </c>
      <c r="Q92" s="91">
        <f t="shared" si="9"/>
        <v>1.0443030897781116</v>
      </c>
      <c r="R92" s="91">
        <f t="shared" si="9"/>
        <v>1.0651891515736736</v>
      </c>
      <c r="S92" s="91">
        <f t="shared" si="9"/>
        <v>1.0864929346051471</v>
      </c>
      <c r="T92" s="91">
        <f t="shared" si="9"/>
        <v>1.1082227932972499</v>
      </c>
      <c r="U92" s="91">
        <f t="shared" si="9"/>
        <v>1.1303872491631952</v>
      </c>
      <c r="V92" s="91">
        <f t="shared" si="9"/>
        <v>1.152994994146459</v>
      </c>
      <c r="W92" s="91">
        <f t="shared" si="9"/>
        <v>1.1760548940293882</v>
      </c>
      <c r="X92" s="91">
        <f t="shared" si="9"/>
        <v>1.1995759919099758</v>
      </c>
      <c r="Y92" s="91">
        <f t="shared" si="9"/>
        <v>1.2235675117481755</v>
      </c>
      <c r="Z92" s="91">
        <f t="shared" si="9"/>
        <v>1.2480388619831388</v>
      </c>
      <c r="AA92" s="91">
        <f t="shared" si="9"/>
        <v>1.2729996392228018</v>
      </c>
      <c r="AB92" s="91">
        <f t="shared" si="9"/>
        <v>1.2984596320072577</v>
      </c>
      <c r="AC92" s="91">
        <f t="shared" si="9"/>
        <v>1.3244288246474025</v>
      </c>
      <c r="AD92" s="91">
        <f t="shared" si="9"/>
        <v>1.3509174011403509</v>
      </c>
      <c r="AE92" s="91">
        <f t="shared" si="9"/>
        <v>1.3779357491631581</v>
      </c>
      <c r="AF92" s="91">
        <f t="shared" si="9"/>
        <v>1.4054944641464209</v>
      </c>
      <c r="AG92" s="91">
        <f t="shared" si="9"/>
        <v>1.4336043534293497</v>
      </c>
      <c r="AH92" s="91">
        <f t="shared" si="9"/>
        <v>1.4622764404979363</v>
      </c>
    </row>
    <row r="93" spans="2:34" ht="15" customHeight="1">
      <c r="B93" s="67" t="s">
        <v>56</v>
      </c>
      <c r="C93" s="91">
        <f t="shared" ca="1" si="7"/>
        <v>0.95669442618805711</v>
      </c>
      <c r="E93" s="91">
        <f t="shared" ref="E93:AH93" si="10">$F35*E$48*$C$23*(1+$C$35+$C$36)</f>
        <v>0.84440324421783153</v>
      </c>
      <c r="F93" s="91">
        <f t="shared" si="10"/>
        <v>0.83989437671945633</v>
      </c>
      <c r="G93" s="91">
        <f t="shared" si="10"/>
        <v>0.85669226425384537</v>
      </c>
      <c r="H93" s="91">
        <f t="shared" si="10"/>
        <v>0.87382610953892226</v>
      </c>
      <c r="I93" s="91">
        <f t="shared" si="10"/>
        <v>0.89130263172970081</v>
      </c>
      <c r="J93" s="91">
        <f t="shared" si="10"/>
        <v>0.90912868436429473</v>
      </c>
      <c r="K93" s="91">
        <f t="shared" si="10"/>
        <v>0.92731125805158077</v>
      </c>
      <c r="L93" s="91">
        <f t="shared" si="10"/>
        <v>0.9458574832126122</v>
      </c>
      <c r="M93" s="91">
        <f t="shared" si="10"/>
        <v>0.96477463287686449</v>
      </c>
      <c r="N93" s="91">
        <f t="shared" si="10"/>
        <v>0.98407012553440176</v>
      </c>
      <c r="O93" s="91">
        <f t="shared" si="10"/>
        <v>1.0037515280450899</v>
      </c>
      <c r="P93" s="91">
        <f t="shared" si="10"/>
        <v>1.0238265586059916</v>
      </c>
      <c r="Q93" s="91">
        <f t="shared" si="10"/>
        <v>1.0443030897781116</v>
      </c>
      <c r="R93" s="91">
        <f t="shared" si="10"/>
        <v>1.0651891515736736</v>
      </c>
      <c r="S93" s="91">
        <f t="shared" si="10"/>
        <v>1.0864929346051471</v>
      </c>
      <c r="T93" s="91">
        <f t="shared" si="10"/>
        <v>1.1082227932972499</v>
      </c>
      <c r="U93" s="91">
        <f t="shared" si="10"/>
        <v>1.1303872491631952</v>
      </c>
      <c r="V93" s="91">
        <f t="shared" si="10"/>
        <v>1.152994994146459</v>
      </c>
      <c r="W93" s="91">
        <f t="shared" si="10"/>
        <v>1.1760548940293882</v>
      </c>
      <c r="X93" s="91">
        <f t="shared" si="10"/>
        <v>1.1995759919099758</v>
      </c>
      <c r="Y93" s="91">
        <f t="shared" si="10"/>
        <v>1.2235675117481755</v>
      </c>
      <c r="Z93" s="91">
        <f t="shared" si="10"/>
        <v>1.2480388619831388</v>
      </c>
      <c r="AA93" s="91">
        <f t="shared" si="10"/>
        <v>1.2729996392228018</v>
      </c>
      <c r="AB93" s="91">
        <f t="shared" si="10"/>
        <v>1.2984596320072577</v>
      </c>
      <c r="AC93" s="91">
        <f t="shared" si="10"/>
        <v>1.3244288246474025</v>
      </c>
      <c r="AD93" s="91">
        <f t="shared" si="10"/>
        <v>1.3509174011403509</v>
      </c>
      <c r="AE93" s="91">
        <f t="shared" si="10"/>
        <v>1.3779357491631581</v>
      </c>
      <c r="AF93" s="91">
        <f t="shared" si="10"/>
        <v>1.4054944641464209</v>
      </c>
      <c r="AG93" s="91">
        <f t="shared" si="10"/>
        <v>1.4336043534293497</v>
      </c>
      <c r="AH93" s="91">
        <f t="shared" si="10"/>
        <v>1.4622764404979363</v>
      </c>
    </row>
    <row r="94" spans="2:34" ht="15" customHeight="1">
      <c r="B94" s="67" t="s">
        <v>58</v>
      </c>
      <c r="C94" s="91">
        <f t="shared" ca="1" si="7"/>
        <v>0</v>
      </c>
      <c r="E94" s="91">
        <f t="shared" ref="E94:AH94" si="11">$F36*E$48*$C$23*(1+$C$35+$C$36)</f>
        <v>0</v>
      </c>
      <c r="F94" s="91">
        <f t="shared" si="11"/>
        <v>0</v>
      </c>
      <c r="G94" s="91">
        <f t="shared" si="11"/>
        <v>0</v>
      </c>
      <c r="H94" s="91">
        <f t="shared" si="11"/>
        <v>0</v>
      </c>
      <c r="I94" s="91">
        <f t="shared" si="11"/>
        <v>0</v>
      </c>
      <c r="J94" s="91">
        <f t="shared" si="11"/>
        <v>0</v>
      </c>
      <c r="K94" s="91">
        <f t="shared" si="11"/>
        <v>0</v>
      </c>
      <c r="L94" s="91">
        <f t="shared" si="11"/>
        <v>0</v>
      </c>
      <c r="M94" s="91">
        <f t="shared" si="11"/>
        <v>0</v>
      </c>
      <c r="N94" s="91">
        <f t="shared" si="11"/>
        <v>0</v>
      </c>
      <c r="O94" s="91">
        <f t="shared" si="11"/>
        <v>0</v>
      </c>
      <c r="P94" s="91">
        <f t="shared" si="11"/>
        <v>0</v>
      </c>
      <c r="Q94" s="91">
        <f t="shared" si="11"/>
        <v>0</v>
      </c>
      <c r="R94" s="91">
        <f t="shared" si="11"/>
        <v>0</v>
      </c>
      <c r="S94" s="91">
        <f t="shared" si="11"/>
        <v>0</v>
      </c>
      <c r="T94" s="91">
        <f t="shared" si="11"/>
        <v>0</v>
      </c>
      <c r="U94" s="91">
        <f t="shared" si="11"/>
        <v>0</v>
      </c>
      <c r="V94" s="91">
        <f t="shared" si="11"/>
        <v>0</v>
      </c>
      <c r="W94" s="91">
        <f t="shared" si="11"/>
        <v>0</v>
      </c>
      <c r="X94" s="91">
        <f t="shared" si="11"/>
        <v>0</v>
      </c>
      <c r="Y94" s="91">
        <f t="shared" si="11"/>
        <v>0</v>
      </c>
      <c r="Z94" s="91">
        <f t="shared" si="11"/>
        <v>0</v>
      </c>
      <c r="AA94" s="91">
        <f t="shared" si="11"/>
        <v>0</v>
      </c>
      <c r="AB94" s="91">
        <f t="shared" si="11"/>
        <v>0</v>
      </c>
      <c r="AC94" s="91">
        <f t="shared" si="11"/>
        <v>0</v>
      </c>
      <c r="AD94" s="91">
        <f t="shared" si="11"/>
        <v>0</v>
      </c>
      <c r="AE94" s="91">
        <f t="shared" si="11"/>
        <v>0</v>
      </c>
      <c r="AF94" s="91">
        <f t="shared" si="11"/>
        <v>0</v>
      </c>
      <c r="AG94" s="91">
        <f t="shared" si="11"/>
        <v>0</v>
      </c>
      <c r="AH94" s="91">
        <f t="shared" si="11"/>
        <v>0</v>
      </c>
    </row>
    <row r="95" spans="2:34" ht="15" customHeight="1">
      <c r="B95" s="67" t="s">
        <v>59</v>
      </c>
      <c r="C95" s="91">
        <f t="shared" ca="1" si="7"/>
        <v>0</v>
      </c>
      <c r="E95" s="91">
        <f t="shared" ref="E95:AH95" si="12">$F37*E$48*$C$23*(1+$C$35+$C$36)</f>
        <v>0</v>
      </c>
      <c r="F95" s="91">
        <f t="shared" si="12"/>
        <v>0</v>
      </c>
      <c r="G95" s="91">
        <f t="shared" si="12"/>
        <v>0</v>
      </c>
      <c r="H95" s="91">
        <f t="shared" si="12"/>
        <v>0</v>
      </c>
      <c r="I95" s="91">
        <f t="shared" si="12"/>
        <v>0</v>
      </c>
      <c r="J95" s="91">
        <f t="shared" si="12"/>
        <v>0</v>
      </c>
      <c r="K95" s="91">
        <f t="shared" si="12"/>
        <v>0</v>
      </c>
      <c r="L95" s="91">
        <f t="shared" si="12"/>
        <v>0</v>
      </c>
      <c r="M95" s="91">
        <f t="shared" si="12"/>
        <v>0</v>
      </c>
      <c r="N95" s="91">
        <f t="shared" si="12"/>
        <v>0</v>
      </c>
      <c r="O95" s="91">
        <f t="shared" si="12"/>
        <v>0</v>
      </c>
      <c r="P95" s="91">
        <f t="shared" si="12"/>
        <v>0</v>
      </c>
      <c r="Q95" s="91">
        <f t="shared" si="12"/>
        <v>0</v>
      </c>
      <c r="R95" s="91">
        <f t="shared" si="12"/>
        <v>0</v>
      </c>
      <c r="S95" s="91">
        <f t="shared" si="12"/>
        <v>0</v>
      </c>
      <c r="T95" s="91">
        <f t="shared" si="12"/>
        <v>0</v>
      </c>
      <c r="U95" s="91">
        <f t="shared" si="12"/>
        <v>0</v>
      </c>
      <c r="V95" s="91">
        <f t="shared" si="12"/>
        <v>0</v>
      </c>
      <c r="W95" s="91">
        <f t="shared" si="12"/>
        <v>0</v>
      </c>
      <c r="X95" s="91">
        <f t="shared" si="12"/>
        <v>0</v>
      </c>
      <c r="Y95" s="91">
        <f t="shared" si="12"/>
        <v>0</v>
      </c>
      <c r="Z95" s="91">
        <f t="shared" si="12"/>
        <v>0</v>
      </c>
      <c r="AA95" s="91">
        <f t="shared" si="12"/>
        <v>0</v>
      </c>
      <c r="AB95" s="91">
        <f t="shared" si="12"/>
        <v>0</v>
      </c>
      <c r="AC95" s="91">
        <f t="shared" si="12"/>
        <v>0</v>
      </c>
      <c r="AD95" s="91">
        <f t="shared" si="12"/>
        <v>0</v>
      </c>
      <c r="AE95" s="91">
        <f t="shared" si="12"/>
        <v>0</v>
      </c>
      <c r="AF95" s="91">
        <f t="shared" si="12"/>
        <v>0</v>
      </c>
      <c r="AG95" s="91">
        <f t="shared" si="12"/>
        <v>0</v>
      </c>
      <c r="AH95" s="91">
        <f t="shared" si="12"/>
        <v>0</v>
      </c>
    </row>
    <row r="96" spans="2:34" ht="15" customHeight="1">
      <c r="B96" s="67" t="s">
        <v>60</v>
      </c>
      <c r="C96" s="91">
        <f t="shared" ca="1" si="7"/>
        <v>0</v>
      </c>
      <c r="E96" s="91">
        <f t="shared" ref="E96:AH96" si="13">$F38*E$48*$C$23*(1+$C$35+$C$36)</f>
        <v>0</v>
      </c>
      <c r="F96" s="91">
        <f t="shared" si="13"/>
        <v>0</v>
      </c>
      <c r="G96" s="91">
        <f t="shared" si="13"/>
        <v>0</v>
      </c>
      <c r="H96" s="91">
        <f t="shared" si="13"/>
        <v>0</v>
      </c>
      <c r="I96" s="91">
        <f t="shared" si="13"/>
        <v>0</v>
      </c>
      <c r="J96" s="91">
        <f t="shared" si="13"/>
        <v>0</v>
      </c>
      <c r="K96" s="91">
        <f t="shared" si="13"/>
        <v>0</v>
      </c>
      <c r="L96" s="91">
        <f t="shared" si="13"/>
        <v>0</v>
      </c>
      <c r="M96" s="91">
        <f t="shared" si="13"/>
        <v>0</v>
      </c>
      <c r="N96" s="91">
        <f t="shared" si="13"/>
        <v>0</v>
      </c>
      <c r="O96" s="91">
        <f t="shared" si="13"/>
        <v>0</v>
      </c>
      <c r="P96" s="91">
        <f t="shared" si="13"/>
        <v>0</v>
      </c>
      <c r="Q96" s="91">
        <f t="shared" si="13"/>
        <v>0</v>
      </c>
      <c r="R96" s="91">
        <f t="shared" si="13"/>
        <v>0</v>
      </c>
      <c r="S96" s="91">
        <f t="shared" si="13"/>
        <v>0</v>
      </c>
      <c r="T96" s="91">
        <f t="shared" si="13"/>
        <v>0</v>
      </c>
      <c r="U96" s="91">
        <f t="shared" si="13"/>
        <v>0</v>
      </c>
      <c r="V96" s="91">
        <f t="shared" si="13"/>
        <v>0</v>
      </c>
      <c r="W96" s="91">
        <f t="shared" si="13"/>
        <v>0</v>
      </c>
      <c r="X96" s="91">
        <f t="shared" si="13"/>
        <v>0</v>
      </c>
      <c r="Y96" s="91">
        <f t="shared" si="13"/>
        <v>0</v>
      </c>
      <c r="Z96" s="91">
        <f t="shared" si="13"/>
        <v>0</v>
      </c>
      <c r="AA96" s="91">
        <f t="shared" si="13"/>
        <v>0</v>
      </c>
      <c r="AB96" s="91">
        <f t="shared" si="13"/>
        <v>0</v>
      </c>
      <c r="AC96" s="91">
        <f t="shared" si="13"/>
        <v>0</v>
      </c>
      <c r="AD96" s="91">
        <f t="shared" si="13"/>
        <v>0</v>
      </c>
      <c r="AE96" s="91">
        <f t="shared" si="13"/>
        <v>0</v>
      </c>
      <c r="AF96" s="91">
        <f t="shared" si="13"/>
        <v>0</v>
      </c>
      <c r="AG96" s="91">
        <f t="shared" si="13"/>
        <v>0</v>
      </c>
      <c r="AH96" s="91">
        <f t="shared" si="13"/>
        <v>0</v>
      </c>
    </row>
    <row r="97" spans="2:34" ht="15" customHeight="1">
      <c r="B97" s="67" t="s">
        <v>61</v>
      </c>
      <c r="C97" s="91">
        <f t="shared" ca="1" si="7"/>
        <v>0</v>
      </c>
      <c r="E97" s="91">
        <f t="shared" ref="E97:AH97" si="14">$F39*E$48*$C$23*(1+$C$35+$C$36)</f>
        <v>0</v>
      </c>
      <c r="F97" s="91">
        <f t="shared" si="14"/>
        <v>0</v>
      </c>
      <c r="G97" s="91">
        <f t="shared" si="14"/>
        <v>0</v>
      </c>
      <c r="H97" s="91">
        <f t="shared" si="14"/>
        <v>0</v>
      </c>
      <c r="I97" s="91">
        <f t="shared" si="14"/>
        <v>0</v>
      </c>
      <c r="J97" s="91">
        <f t="shared" si="14"/>
        <v>0</v>
      </c>
      <c r="K97" s="91">
        <f t="shared" si="14"/>
        <v>0</v>
      </c>
      <c r="L97" s="91">
        <f t="shared" si="14"/>
        <v>0</v>
      </c>
      <c r="M97" s="91">
        <f t="shared" si="14"/>
        <v>0</v>
      </c>
      <c r="N97" s="91">
        <f t="shared" si="14"/>
        <v>0</v>
      </c>
      <c r="O97" s="91">
        <f t="shared" si="14"/>
        <v>0</v>
      </c>
      <c r="P97" s="91">
        <f t="shared" si="14"/>
        <v>0</v>
      </c>
      <c r="Q97" s="91">
        <f t="shared" si="14"/>
        <v>0</v>
      </c>
      <c r="R97" s="91">
        <f t="shared" si="14"/>
        <v>0</v>
      </c>
      <c r="S97" s="91">
        <f t="shared" si="14"/>
        <v>0</v>
      </c>
      <c r="T97" s="91">
        <f t="shared" si="14"/>
        <v>0</v>
      </c>
      <c r="U97" s="91">
        <f t="shared" si="14"/>
        <v>0</v>
      </c>
      <c r="V97" s="91">
        <f t="shared" si="14"/>
        <v>0</v>
      </c>
      <c r="W97" s="91">
        <f t="shared" si="14"/>
        <v>0</v>
      </c>
      <c r="X97" s="91">
        <f t="shared" si="14"/>
        <v>0</v>
      </c>
      <c r="Y97" s="91">
        <f t="shared" si="14"/>
        <v>0</v>
      </c>
      <c r="Z97" s="91">
        <f t="shared" si="14"/>
        <v>0</v>
      </c>
      <c r="AA97" s="91">
        <f t="shared" si="14"/>
        <v>0</v>
      </c>
      <c r="AB97" s="91">
        <f t="shared" si="14"/>
        <v>0</v>
      </c>
      <c r="AC97" s="91">
        <f t="shared" si="14"/>
        <v>0</v>
      </c>
      <c r="AD97" s="91">
        <f t="shared" si="14"/>
        <v>0</v>
      </c>
      <c r="AE97" s="91">
        <f t="shared" si="14"/>
        <v>0</v>
      </c>
      <c r="AF97" s="91">
        <f t="shared" si="14"/>
        <v>0</v>
      </c>
      <c r="AG97" s="91">
        <f t="shared" si="14"/>
        <v>0</v>
      </c>
      <c r="AH97" s="91">
        <f t="shared" si="14"/>
        <v>0</v>
      </c>
    </row>
    <row r="98" spans="2:34" ht="15" customHeight="1">
      <c r="B98" s="67" t="s">
        <v>62</v>
      </c>
      <c r="C98" s="91">
        <f t="shared" ca="1" si="7"/>
        <v>0</v>
      </c>
      <c r="E98" s="91">
        <f t="shared" ref="E98:AH98" si="15">$F40*E$48*$C$23*(1+$C$35+$C$36)</f>
        <v>0</v>
      </c>
      <c r="F98" s="91">
        <f t="shared" si="15"/>
        <v>0</v>
      </c>
      <c r="G98" s="91">
        <f t="shared" si="15"/>
        <v>0</v>
      </c>
      <c r="H98" s="91">
        <f t="shared" si="15"/>
        <v>0</v>
      </c>
      <c r="I98" s="91">
        <f t="shared" si="15"/>
        <v>0</v>
      </c>
      <c r="J98" s="91">
        <f t="shared" si="15"/>
        <v>0</v>
      </c>
      <c r="K98" s="91">
        <f t="shared" si="15"/>
        <v>0</v>
      </c>
      <c r="L98" s="91">
        <f t="shared" si="15"/>
        <v>0</v>
      </c>
      <c r="M98" s="91">
        <f t="shared" si="15"/>
        <v>0</v>
      </c>
      <c r="N98" s="91">
        <f t="shared" si="15"/>
        <v>0</v>
      </c>
      <c r="O98" s="91">
        <f t="shared" si="15"/>
        <v>0</v>
      </c>
      <c r="P98" s="91">
        <f t="shared" si="15"/>
        <v>0</v>
      </c>
      <c r="Q98" s="91">
        <f t="shared" si="15"/>
        <v>0</v>
      </c>
      <c r="R98" s="91">
        <f t="shared" si="15"/>
        <v>0</v>
      </c>
      <c r="S98" s="91">
        <f t="shared" si="15"/>
        <v>0</v>
      </c>
      <c r="T98" s="91">
        <f t="shared" si="15"/>
        <v>0</v>
      </c>
      <c r="U98" s="91">
        <f t="shared" si="15"/>
        <v>0</v>
      </c>
      <c r="V98" s="91">
        <f t="shared" si="15"/>
        <v>0</v>
      </c>
      <c r="W98" s="91">
        <f t="shared" si="15"/>
        <v>0</v>
      </c>
      <c r="X98" s="91">
        <f t="shared" si="15"/>
        <v>0</v>
      </c>
      <c r="Y98" s="91">
        <f t="shared" si="15"/>
        <v>0</v>
      </c>
      <c r="Z98" s="91">
        <f t="shared" si="15"/>
        <v>0</v>
      </c>
      <c r="AA98" s="91">
        <f t="shared" si="15"/>
        <v>0</v>
      </c>
      <c r="AB98" s="91">
        <f t="shared" si="15"/>
        <v>0</v>
      </c>
      <c r="AC98" s="91">
        <f t="shared" si="15"/>
        <v>0</v>
      </c>
      <c r="AD98" s="91">
        <f t="shared" si="15"/>
        <v>0</v>
      </c>
      <c r="AE98" s="91">
        <f t="shared" si="15"/>
        <v>0</v>
      </c>
      <c r="AF98" s="91">
        <f t="shared" si="15"/>
        <v>0</v>
      </c>
      <c r="AG98" s="91">
        <f t="shared" si="15"/>
        <v>0</v>
      </c>
      <c r="AH98" s="91">
        <f t="shared" si="15"/>
        <v>0</v>
      </c>
    </row>
    <row r="99" spans="2:34" ht="15" customHeight="1">
      <c r="B99" s="67" t="s">
        <v>63</v>
      </c>
      <c r="C99" s="91">
        <f t="shared" ca="1" si="7"/>
        <v>0</v>
      </c>
      <c r="E99" s="91">
        <f t="shared" ref="E99:AH99" si="16">$F41*E$48*$C$23*(1+$C$35+$C$36)</f>
        <v>0</v>
      </c>
      <c r="F99" s="91">
        <f t="shared" si="16"/>
        <v>0</v>
      </c>
      <c r="G99" s="91">
        <f t="shared" si="16"/>
        <v>0</v>
      </c>
      <c r="H99" s="91">
        <f t="shared" si="16"/>
        <v>0</v>
      </c>
      <c r="I99" s="91">
        <f t="shared" si="16"/>
        <v>0</v>
      </c>
      <c r="J99" s="91">
        <f t="shared" si="16"/>
        <v>0</v>
      </c>
      <c r="K99" s="91">
        <f t="shared" si="16"/>
        <v>0</v>
      </c>
      <c r="L99" s="91">
        <f t="shared" si="16"/>
        <v>0</v>
      </c>
      <c r="M99" s="91">
        <f t="shared" si="16"/>
        <v>0</v>
      </c>
      <c r="N99" s="91">
        <f t="shared" si="16"/>
        <v>0</v>
      </c>
      <c r="O99" s="91">
        <f t="shared" si="16"/>
        <v>0</v>
      </c>
      <c r="P99" s="91">
        <f t="shared" si="16"/>
        <v>0</v>
      </c>
      <c r="Q99" s="91">
        <f t="shared" si="16"/>
        <v>0</v>
      </c>
      <c r="R99" s="91">
        <f t="shared" si="16"/>
        <v>0</v>
      </c>
      <c r="S99" s="91">
        <f t="shared" si="16"/>
        <v>0</v>
      </c>
      <c r="T99" s="91">
        <f t="shared" si="16"/>
        <v>0</v>
      </c>
      <c r="U99" s="91">
        <f t="shared" si="16"/>
        <v>0</v>
      </c>
      <c r="V99" s="91">
        <f t="shared" si="16"/>
        <v>0</v>
      </c>
      <c r="W99" s="91">
        <f t="shared" si="16"/>
        <v>0</v>
      </c>
      <c r="X99" s="91">
        <f t="shared" si="16"/>
        <v>0</v>
      </c>
      <c r="Y99" s="91">
        <f t="shared" si="16"/>
        <v>0</v>
      </c>
      <c r="Z99" s="91">
        <f t="shared" si="16"/>
        <v>0</v>
      </c>
      <c r="AA99" s="91">
        <f t="shared" si="16"/>
        <v>0</v>
      </c>
      <c r="AB99" s="91">
        <f t="shared" si="16"/>
        <v>0</v>
      </c>
      <c r="AC99" s="91">
        <f t="shared" si="16"/>
        <v>0</v>
      </c>
      <c r="AD99" s="91">
        <f t="shared" si="16"/>
        <v>0</v>
      </c>
      <c r="AE99" s="91">
        <f t="shared" si="16"/>
        <v>0</v>
      </c>
      <c r="AF99" s="91">
        <f t="shared" si="16"/>
        <v>0</v>
      </c>
      <c r="AG99" s="91">
        <f t="shared" si="16"/>
        <v>0</v>
      </c>
      <c r="AH99" s="91">
        <f t="shared" si="16"/>
        <v>0</v>
      </c>
    </row>
    <row r="100" spans="2:34" ht="15" customHeight="1">
      <c r="B100" s="67" t="s">
        <v>64</v>
      </c>
      <c r="C100" s="91">
        <f t="shared" ca="1" si="7"/>
        <v>0</v>
      </c>
      <c r="E100" s="91">
        <f t="shared" ref="E100:AH100" si="17">$F42*E$48*$C$23*(1+$C$35+$C$36)</f>
        <v>0</v>
      </c>
      <c r="F100" s="91">
        <f t="shared" si="17"/>
        <v>0</v>
      </c>
      <c r="G100" s="91">
        <f t="shared" si="17"/>
        <v>0</v>
      </c>
      <c r="H100" s="91">
        <f t="shared" si="17"/>
        <v>0</v>
      </c>
      <c r="I100" s="91">
        <f t="shared" si="17"/>
        <v>0</v>
      </c>
      <c r="J100" s="91">
        <f t="shared" si="17"/>
        <v>0</v>
      </c>
      <c r="K100" s="91">
        <f t="shared" si="17"/>
        <v>0</v>
      </c>
      <c r="L100" s="91">
        <f t="shared" si="17"/>
        <v>0</v>
      </c>
      <c r="M100" s="91">
        <f t="shared" si="17"/>
        <v>0</v>
      </c>
      <c r="N100" s="91">
        <f t="shared" si="17"/>
        <v>0</v>
      </c>
      <c r="O100" s="91">
        <f t="shared" si="17"/>
        <v>0</v>
      </c>
      <c r="P100" s="91">
        <f t="shared" si="17"/>
        <v>0</v>
      </c>
      <c r="Q100" s="91">
        <f t="shared" si="17"/>
        <v>0</v>
      </c>
      <c r="R100" s="91">
        <f t="shared" si="17"/>
        <v>0</v>
      </c>
      <c r="S100" s="91">
        <f t="shared" si="17"/>
        <v>0</v>
      </c>
      <c r="T100" s="91">
        <f t="shared" si="17"/>
        <v>0</v>
      </c>
      <c r="U100" s="91">
        <f t="shared" si="17"/>
        <v>0</v>
      </c>
      <c r="V100" s="91">
        <f t="shared" si="17"/>
        <v>0</v>
      </c>
      <c r="W100" s="91">
        <f t="shared" si="17"/>
        <v>0</v>
      </c>
      <c r="X100" s="91">
        <f t="shared" si="17"/>
        <v>0</v>
      </c>
      <c r="Y100" s="91">
        <f t="shared" si="17"/>
        <v>0</v>
      </c>
      <c r="Z100" s="91">
        <f t="shared" si="17"/>
        <v>0</v>
      </c>
      <c r="AA100" s="91">
        <f t="shared" si="17"/>
        <v>0</v>
      </c>
      <c r="AB100" s="91">
        <f t="shared" si="17"/>
        <v>0</v>
      </c>
      <c r="AC100" s="91">
        <f t="shared" si="17"/>
        <v>0</v>
      </c>
      <c r="AD100" s="91">
        <f t="shared" si="17"/>
        <v>0</v>
      </c>
      <c r="AE100" s="91">
        <f t="shared" si="17"/>
        <v>0</v>
      </c>
      <c r="AF100" s="91">
        <f t="shared" si="17"/>
        <v>0</v>
      </c>
      <c r="AG100" s="91">
        <f t="shared" si="17"/>
        <v>0</v>
      </c>
      <c r="AH100" s="91">
        <f t="shared" si="17"/>
        <v>0</v>
      </c>
    </row>
    <row r="101" spans="2:34" ht="15" customHeight="1">
      <c r="B101" s="67" t="s">
        <v>65</v>
      </c>
      <c r="C101" s="91">
        <f t="shared" ca="1" si="7"/>
        <v>0.95669442618805711</v>
      </c>
      <c r="E101" s="91">
        <f t="shared" ref="E101:AH101" si="18">$F43*E$48*$C$23*(1+$C$35+$C$36)</f>
        <v>0.84440324421783153</v>
      </c>
      <c r="F101" s="91">
        <f t="shared" si="18"/>
        <v>0.83989437671945633</v>
      </c>
      <c r="G101" s="91">
        <f t="shared" si="18"/>
        <v>0.85669226425384537</v>
      </c>
      <c r="H101" s="91">
        <f t="shared" si="18"/>
        <v>0.87382610953892226</v>
      </c>
      <c r="I101" s="91">
        <f t="shared" si="18"/>
        <v>0.89130263172970081</v>
      </c>
      <c r="J101" s="91">
        <f t="shared" si="18"/>
        <v>0.90912868436429473</v>
      </c>
      <c r="K101" s="91">
        <f t="shared" si="18"/>
        <v>0.92731125805158077</v>
      </c>
      <c r="L101" s="91">
        <f t="shared" si="18"/>
        <v>0.9458574832126122</v>
      </c>
      <c r="M101" s="91">
        <f t="shared" si="18"/>
        <v>0.96477463287686449</v>
      </c>
      <c r="N101" s="91">
        <f t="shared" si="18"/>
        <v>0.98407012553440176</v>
      </c>
      <c r="O101" s="91">
        <f t="shared" si="18"/>
        <v>1.0037515280450899</v>
      </c>
      <c r="P101" s="91">
        <f t="shared" si="18"/>
        <v>1.0238265586059916</v>
      </c>
      <c r="Q101" s="91">
        <f t="shared" si="18"/>
        <v>1.0443030897781116</v>
      </c>
      <c r="R101" s="91">
        <f t="shared" si="18"/>
        <v>1.0651891515736736</v>
      </c>
      <c r="S101" s="91">
        <f t="shared" si="18"/>
        <v>1.0864929346051471</v>
      </c>
      <c r="T101" s="91">
        <f t="shared" si="18"/>
        <v>1.1082227932972499</v>
      </c>
      <c r="U101" s="91">
        <f t="shared" si="18"/>
        <v>1.1303872491631952</v>
      </c>
      <c r="V101" s="91">
        <f t="shared" si="18"/>
        <v>1.152994994146459</v>
      </c>
      <c r="W101" s="91">
        <f t="shared" si="18"/>
        <v>1.1760548940293882</v>
      </c>
      <c r="X101" s="91">
        <f t="shared" si="18"/>
        <v>1.1995759919099758</v>
      </c>
      <c r="Y101" s="91">
        <f t="shared" si="18"/>
        <v>1.2235675117481755</v>
      </c>
      <c r="Z101" s="91">
        <f t="shared" si="18"/>
        <v>1.2480388619831388</v>
      </c>
      <c r="AA101" s="91">
        <f t="shared" si="18"/>
        <v>1.2729996392228018</v>
      </c>
      <c r="AB101" s="91">
        <f t="shared" si="18"/>
        <v>1.2984596320072577</v>
      </c>
      <c r="AC101" s="91">
        <f t="shared" si="18"/>
        <v>1.3244288246474025</v>
      </c>
      <c r="AD101" s="91">
        <f t="shared" si="18"/>
        <v>1.3509174011403509</v>
      </c>
      <c r="AE101" s="91">
        <f t="shared" si="18"/>
        <v>1.3779357491631581</v>
      </c>
      <c r="AF101" s="91">
        <f t="shared" si="18"/>
        <v>1.4054944641464209</v>
      </c>
      <c r="AG101" s="91">
        <f t="shared" si="18"/>
        <v>1.4336043534293497</v>
      </c>
      <c r="AH101" s="91">
        <f t="shared" si="18"/>
        <v>1.4622764404979363</v>
      </c>
    </row>
    <row r="102" spans="2:34" ht="15" customHeight="1">
      <c r="B102" s="68" t="s">
        <v>66</v>
      </c>
      <c r="C102" s="91">
        <f t="shared" ca="1" si="7"/>
        <v>0.95669442618805711</v>
      </c>
      <c r="E102" s="91">
        <f t="shared" ref="E102:AH102" si="19">$F44*E$48*$C$23*(1+$C$35+$C$36)</f>
        <v>0.84440324421783153</v>
      </c>
      <c r="F102" s="91">
        <f t="shared" si="19"/>
        <v>0.83989437671945633</v>
      </c>
      <c r="G102" s="91">
        <f t="shared" si="19"/>
        <v>0.85669226425384537</v>
      </c>
      <c r="H102" s="91">
        <f t="shared" si="19"/>
        <v>0.87382610953892226</v>
      </c>
      <c r="I102" s="91">
        <f t="shared" si="19"/>
        <v>0.89130263172970081</v>
      </c>
      <c r="J102" s="91">
        <f t="shared" si="19"/>
        <v>0.90912868436429473</v>
      </c>
      <c r="K102" s="91">
        <f t="shared" si="19"/>
        <v>0.92731125805158077</v>
      </c>
      <c r="L102" s="91">
        <f t="shared" si="19"/>
        <v>0.9458574832126122</v>
      </c>
      <c r="M102" s="91">
        <f t="shared" si="19"/>
        <v>0.96477463287686449</v>
      </c>
      <c r="N102" s="91">
        <f t="shared" si="19"/>
        <v>0.98407012553440176</v>
      </c>
      <c r="O102" s="91">
        <f t="shared" si="19"/>
        <v>1.0037515280450899</v>
      </c>
      <c r="P102" s="91">
        <f t="shared" si="19"/>
        <v>1.0238265586059916</v>
      </c>
      <c r="Q102" s="91">
        <f t="shared" si="19"/>
        <v>1.0443030897781116</v>
      </c>
      <c r="R102" s="91">
        <f t="shared" si="19"/>
        <v>1.0651891515736736</v>
      </c>
      <c r="S102" s="91">
        <f t="shared" si="19"/>
        <v>1.0864929346051471</v>
      </c>
      <c r="T102" s="91">
        <f t="shared" si="19"/>
        <v>1.1082227932972499</v>
      </c>
      <c r="U102" s="91">
        <f t="shared" si="19"/>
        <v>1.1303872491631952</v>
      </c>
      <c r="V102" s="91">
        <f t="shared" si="19"/>
        <v>1.152994994146459</v>
      </c>
      <c r="W102" s="91">
        <f t="shared" si="19"/>
        <v>1.1760548940293882</v>
      </c>
      <c r="X102" s="91">
        <f t="shared" si="19"/>
        <v>1.1995759919099758</v>
      </c>
      <c r="Y102" s="91">
        <f t="shared" si="19"/>
        <v>1.2235675117481755</v>
      </c>
      <c r="Z102" s="91">
        <f t="shared" si="19"/>
        <v>1.2480388619831388</v>
      </c>
      <c r="AA102" s="91">
        <f t="shared" si="19"/>
        <v>1.2729996392228018</v>
      </c>
      <c r="AB102" s="91">
        <f t="shared" si="19"/>
        <v>1.2984596320072577</v>
      </c>
      <c r="AC102" s="91">
        <f t="shared" si="19"/>
        <v>1.3244288246474025</v>
      </c>
      <c r="AD102" s="91">
        <f t="shared" si="19"/>
        <v>1.3509174011403509</v>
      </c>
      <c r="AE102" s="91">
        <f t="shared" si="19"/>
        <v>1.3779357491631581</v>
      </c>
      <c r="AF102" s="91">
        <f t="shared" si="19"/>
        <v>1.4054944641464209</v>
      </c>
      <c r="AG102" s="91">
        <f t="shared" si="19"/>
        <v>1.4336043534293497</v>
      </c>
      <c r="AH102" s="91">
        <f t="shared" si="19"/>
        <v>1.4622764404979363</v>
      </c>
    </row>
    <row r="103" spans="2:34">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row>
    <row r="104" spans="2:34" ht="15" customHeight="1">
      <c r="B104" s="234" t="s">
        <v>78</v>
      </c>
      <c r="C104" s="234" t="s">
        <v>74</v>
      </c>
      <c r="D104" s="234"/>
      <c r="E104" s="234">
        <f t="shared" ref="E104:AH104" si="20">E$46</f>
        <v>2026</v>
      </c>
      <c r="F104" s="234">
        <f t="shared" si="20"/>
        <v>2027</v>
      </c>
      <c r="G104" s="234">
        <f t="shared" si="20"/>
        <v>2028</v>
      </c>
      <c r="H104" s="234">
        <f t="shared" si="20"/>
        <v>2029</v>
      </c>
      <c r="I104" s="234">
        <f t="shared" si="20"/>
        <v>2030</v>
      </c>
      <c r="J104" s="234">
        <f t="shared" si="20"/>
        <v>2031</v>
      </c>
      <c r="K104" s="234">
        <f t="shared" si="20"/>
        <v>2032</v>
      </c>
      <c r="L104" s="234">
        <f t="shared" si="20"/>
        <v>2033</v>
      </c>
      <c r="M104" s="234">
        <f t="shared" si="20"/>
        <v>2034</v>
      </c>
      <c r="N104" s="234">
        <f t="shared" si="20"/>
        <v>2035</v>
      </c>
      <c r="O104" s="234">
        <f t="shared" si="20"/>
        <v>2036</v>
      </c>
      <c r="P104" s="234">
        <f t="shared" si="20"/>
        <v>2037</v>
      </c>
      <c r="Q104" s="234">
        <f t="shared" si="20"/>
        <v>2038</v>
      </c>
      <c r="R104" s="234">
        <f t="shared" si="20"/>
        <v>2039</v>
      </c>
      <c r="S104" s="234">
        <f t="shared" si="20"/>
        <v>2040</v>
      </c>
      <c r="T104" s="234">
        <f t="shared" si="20"/>
        <v>2041</v>
      </c>
      <c r="U104" s="234">
        <f t="shared" si="20"/>
        <v>2042</v>
      </c>
      <c r="V104" s="234">
        <f t="shared" si="20"/>
        <v>2043</v>
      </c>
      <c r="W104" s="234">
        <f t="shared" si="20"/>
        <v>2044</v>
      </c>
      <c r="X104" s="234">
        <f t="shared" si="20"/>
        <v>2045</v>
      </c>
      <c r="Y104" s="234">
        <f t="shared" si="20"/>
        <v>2046</v>
      </c>
      <c r="Z104" s="234">
        <f t="shared" si="20"/>
        <v>2047</v>
      </c>
      <c r="AA104" s="234">
        <f t="shared" si="20"/>
        <v>2048</v>
      </c>
      <c r="AB104" s="234">
        <f t="shared" si="20"/>
        <v>2049</v>
      </c>
      <c r="AC104" s="234">
        <f t="shared" si="20"/>
        <v>2050</v>
      </c>
      <c r="AD104" s="234">
        <f t="shared" si="20"/>
        <v>2051</v>
      </c>
      <c r="AE104" s="234">
        <f t="shared" si="20"/>
        <v>2052</v>
      </c>
      <c r="AF104" s="234">
        <f t="shared" si="20"/>
        <v>2053</v>
      </c>
      <c r="AG104" s="234">
        <f t="shared" si="20"/>
        <v>2054</v>
      </c>
      <c r="AH104" s="234">
        <f t="shared" si="20"/>
        <v>2055</v>
      </c>
    </row>
    <row r="105" spans="2:34" ht="15" customHeight="1">
      <c r="B105" s="67" t="s">
        <v>52</v>
      </c>
      <c r="C105" s="91">
        <f t="shared" ref="C105:C116" ca="1" si="21">-PMT($C$17,$C$15,NPV($C$17,OFFSET(E105,0,$C$72,1,$C$15)))</f>
        <v>2.5906518567385168</v>
      </c>
      <c r="E105" s="91">
        <f t="shared" ref="E105:N116" si="22">(E$49+E$50)*$C$24</f>
        <v>0.8899773512130762</v>
      </c>
      <c r="F105" s="91">
        <f t="shared" si="22"/>
        <v>1.6936947892993035</v>
      </c>
      <c r="G105" s="91">
        <f t="shared" si="22"/>
        <v>2.4981463656927798</v>
      </c>
      <c r="H105" s="91">
        <f t="shared" si="22"/>
        <v>2.7171891593927819</v>
      </c>
      <c r="I105" s="91">
        <f t="shared" si="22"/>
        <v>2.937310677368886</v>
      </c>
      <c r="J105" s="91">
        <f t="shared" si="22"/>
        <v>3.1584348748931532</v>
      </c>
      <c r="K105" s="91">
        <f t="shared" si="22"/>
        <v>3.0116589774081732</v>
      </c>
      <c r="L105" s="91">
        <f t="shared" si="22"/>
        <v>2.865946771158149</v>
      </c>
      <c r="M105" s="91">
        <f t="shared" si="22"/>
        <v>2.7214138255270637</v>
      </c>
      <c r="N105" s="91">
        <f t="shared" si="22"/>
        <v>2.5781849766862956</v>
      </c>
      <c r="O105" s="91">
        <f t="shared" ref="O105:X116" si="23">(O$49+O$50)*$C$24</f>
        <v>2.4364197837683865</v>
      </c>
      <c r="P105" s="91">
        <f t="shared" si="23"/>
        <v>2.5247490403499993</v>
      </c>
      <c r="Q105" s="91">
        <f t="shared" si="23"/>
        <v>2.614740551884613</v>
      </c>
      <c r="R105" s="91">
        <f t="shared" si="23"/>
        <v>2.7064890774134596</v>
      </c>
      <c r="S105" s="91">
        <f t="shared" si="23"/>
        <v>2.8002057615276068</v>
      </c>
      <c r="T105" s="91">
        <f t="shared" si="23"/>
        <v>2.8962613679767548</v>
      </c>
      <c r="U105" s="91">
        <f t="shared" si="23"/>
        <v>3.2165614973160586</v>
      </c>
      <c r="V105" s="91">
        <f t="shared" si="23"/>
        <v>3.5392638935050083</v>
      </c>
      <c r="W105" s="91">
        <f t="shared" si="23"/>
        <v>3.8644495239010901</v>
      </c>
      <c r="X105" s="91">
        <f t="shared" si="23"/>
        <v>4.1924615727406396</v>
      </c>
      <c r="Y105" s="91">
        <f t="shared" ref="Y105:AH116" si="24">(Y$49+Y$50)*$C$24</f>
        <v>4.2800516606492476</v>
      </c>
      <c r="Z105" s="91">
        <f t="shared" si="24"/>
        <v>4.3691516851366385</v>
      </c>
      <c r="AA105" s="91">
        <f t="shared" si="24"/>
        <v>4.4597918449343901</v>
      </c>
      <c r="AB105" s="91">
        <f t="shared" si="24"/>
        <v>4.552002942748711</v>
      </c>
      <c r="AC105" s="91">
        <f t="shared" si="24"/>
        <v>4.6458163973399289</v>
      </c>
      <c r="AD105" s="91">
        <f t="shared" si="24"/>
        <v>4.7412642558435847</v>
      </c>
      <c r="AE105" s="91">
        <f t="shared" si="24"/>
        <v>4.8383792063379216</v>
      </c>
      <c r="AF105" s="91">
        <f t="shared" si="24"/>
        <v>4.9371945906627621</v>
      </c>
      <c r="AG105" s="91">
        <f t="shared" si="24"/>
        <v>5.0377444174947126</v>
      </c>
      <c r="AH105" s="91">
        <f t="shared" si="24"/>
        <v>5.1400633756839138</v>
      </c>
    </row>
    <row r="106" spans="2:34" ht="15" customHeight="1">
      <c r="B106" s="67" t="s">
        <v>54</v>
      </c>
      <c r="C106" s="91">
        <f t="shared" ca="1" si="21"/>
        <v>2.5906518567385168</v>
      </c>
      <c r="E106" s="91">
        <f t="shared" si="22"/>
        <v>0.8899773512130762</v>
      </c>
      <c r="F106" s="91">
        <f t="shared" si="22"/>
        <v>1.6936947892993035</v>
      </c>
      <c r="G106" s="91">
        <f t="shared" si="22"/>
        <v>2.4981463656927798</v>
      </c>
      <c r="H106" s="91">
        <f t="shared" si="22"/>
        <v>2.7171891593927819</v>
      </c>
      <c r="I106" s="91">
        <f t="shared" si="22"/>
        <v>2.937310677368886</v>
      </c>
      <c r="J106" s="91">
        <f t="shared" si="22"/>
        <v>3.1584348748931532</v>
      </c>
      <c r="K106" s="91">
        <f t="shared" si="22"/>
        <v>3.0116589774081732</v>
      </c>
      <c r="L106" s="91">
        <f t="shared" si="22"/>
        <v>2.865946771158149</v>
      </c>
      <c r="M106" s="91">
        <f t="shared" si="22"/>
        <v>2.7214138255270637</v>
      </c>
      <c r="N106" s="91">
        <f t="shared" si="22"/>
        <v>2.5781849766862956</v>
      </c>
      <c r="O106" s="91">
        <f t="shared" si="23"/>
        <v>2.4364197837683865</v>
      </c>
      <c r="P106" s="91">
        <f t="shared" si="23"/>
        <v>2.5247490403499993</v>
      </c>
      <c r="Q106" s="91">
        <f t="shared" si="23"/>
        <v>2.614740551884613</v>
      </c>
      <c r="R106" s="91">
        <f t="shared" si="23"/>
        <v>2.7064890774134596</v>
      </c>
      <c r="S106" s="91">
        <f t="shared" si="23"/>
        <v>2.8002057615276068</v>
      </c>
      <c r="T106" s="91">
        <f t="shared" si="23"/>
        <v>2.8962613679767548</v>
      </c>
      <c r="U106" s="91">
        <f t="shared" si="23"/>
        <v>3.2165614973160586</v>
      </c>
      <c r="V106" s="91">
        <f t="shared" si="23"/>
        <v>3.5392638935050083</v>
      </c>
      <c r="W106" s="91">
        <f t="shared" si="23"/>
        <v>3.8644495239010901</v>
      </c>
      <c r="X106" s="91">
        <f t="shared" si="23"/>
        <v>4.1924615727406396</v>
      </c>
      <c r="Y106" s="91">
        <f t="shared" si="24"/>
        <v>4.2800516606492476</v>
      </c>
      <c r="Z106" s="91">
        <f t="shared" si="24"/>
        <v>4.3691516851366385</v>
      </c>
      <c r="AA106" s="91">
        <f t="shared" si="24"/>
        <v>4.4597918449343901</v>
      </c>
      <c r="AB106" s="91">
        <f t="shared" si="24"/>
        <v>4.552002942748711</v>
      </c>
      <c r="AC106" s="91">
        <f t="shared" si="24"/>
        <v>4.6458163973399289</v>
      </c>
      <c r="AD106" s="91">
        <f t="shared" si="24"/>
        <v>4.7412642558435847</v>
      </c>
      <c r="AE106" s="91">
        <f t="shared" si="24"/>
        <v>4.8383792063379216</v>
      </c>
      <c r="AF106" s="91">
        <f t="shared" si="24"/>
        <v>4.9371945906627621</v>
      </c>
      <c r="AG106" s="91">
        <f t="shared" si="24"/>
        <v>5.0377444174947126</v>
      </c>
      <c r="AH106" s="91">
        <f t="shared" si="24"/>
        <v>5.1400633756839138</v>
      </c>
    </row>
    <row r="107" spans="2:34" ht="15" customHeight="1">
      <c r="B107" s="67" t="s">
        <v>56</v>
      </c>
      <c r="C107" s="91">
        <f t="shared" ca="1" si="21"/>
        <v>2.5906518567385168</v>
      </c>
      <c r="E107" s="91">
        <f t="shared" si="22"/>
        <v>0.8899773512130762</v>
      </c>
      <c r="F107" s="91">
        <f t="shared" si="22"/>
        <v>1.6936947892993035</v>
      </c>
      <c r="G107" s="91">
        <f t="shared" si="22"/>
        <v>2.4981463656927798</v>
      </c>
      <c r="H107" s="91">
        <f t="shared" si="22"/>
        <v>2.7171891593927819</v>
      </c>
      <c r="I107" s="91">
        <f t="shared" si="22"/>
        <v>2.937310677368886</v>
      </c>
      <c r="J107" s="91">
        <f t="shared" si="22"/>
        <v>3.1584348748931532</v>
      </c>
      <c r="K107" s="91">
        <f t="shared" si="22"/>
        <v>3.0116589774081732</v>
      </c>
      <c r="L107" s="91">
        <f t="shared" si="22"/>
        <v>2.865946771158149</v>
      </c>
      <c r="M107" s="91">
        <f t="shared" si="22"/>
        <v>2.7214138255270637</v>
      </c>
      <c r="N107" s="91">
        <f t="shared" si="22"/>
        <v>2.5781849766862956</v>
      </c>
      <c r="O107" s="91">
        <f t="shared" si="23"/>
        <v>2.4364197837683865</v>
      </c>
      <c r="P107" s="91">
        <f t="shared" si="23"/>
        <v>2.5247490403499993</v>
      </c>
      <c r="Q107" s="91">
        <f t="shared" si="23"/>
        <v>2.614740551884613</v>
      </c>
      <c r="R107" s="91">
        <f t="shared" si="23"/>
        <v>2.7064890774134596</v>
      </c>
      <c r="S107" s="91">
        <f t="shared" si="23"/>
        <v>2.8002057615276068</v>
      </c>
      <c r="T107" s="91">
        <f t="shared" si="23"/>
        <v>2.8962613679767548</v>
      </c>
      <c r="U107" s="91">
        <f t="shared" si="23"/>
        <v>3.2165614973160586</v>
      </c>
      <c r="V107" s="91">
        <f t="shared" si="23"/>
        <v>3.5392638935050083</v>
      </c>
      <c r="W107" s="91">
        <f t="shared" si="23"/>
        <v>3.8644495239010901</v>
      </c>
      <c r="X107" s="91">
        <f t="shared" si="23"/>
        <v>4.1924615727406396</v>
      </c>
      <c r="Y107" s="91">
        <f t="shared" si="24"/>
        <v>4.2800516606492476</v>
      </c>
      <c r="Z107" s="91">
        <f t="shared" si="24"/>
        <v>4.3691516851366385</v>
      </c>
      <c r="AA107" s="91">
        <f t="shared" si="24"/>
        <v>4.4597918449343901</v>
      </c>
      <c r="AB107" s="91">
        <f t="shared" si="24"/>
        <v>4.552002942748711</v>
      </c>
      <c r="AC107" s="91">
        <f t="shared" si="24"/>
        <v>4.6458163973399289</v>
      </c>
      <c r="AD107" s="91">
        <f t="shared" si="24"/>
        <v>4.7412642558435847</v>
      </c>
      <c r="AE107" s="91">
        <f t="shared" si="24"/>
        <v>4.8383792063379216</v>
      </c>
      <c r="AF107" s="91">
        <f t="shared" si="24"/>
        <v>4.9371945906627621</v>
      </c>
      <c r="AG107" s="91">
        <f t="shared" si="24"/>
        <v>5.0377444174947126</v>
      </c>
      <c r="AH107" s="91">
        <f t="shared" si="24"/>
        <v>5.1400633756839138</v>
      </c>
    </row>
    <row r="108" spans="2:34" ht="15" customHeight="1">
      <c r="B108" s="67" t="s">
        <v>58</v>
      </c>
      <c r="C108" s="91">
        <f t="shared" ca="1" si="21"/>
        <v>2.5906518567385168</v>
      </c>
      <c r="E108" s="91">
        <f t="shared" si="22"/>
        <v>0.8899773512130762</v>
      </c>
      <c r="F108" s="91">
        <f t="shared" si="22"/>
        <v>1.6936947892993035</v>
      </c>
      <c r="G108" s="91">
        <f t="shared" si="22"/>
        <v>2.4981463656927798</v>
      </c>
      <c r="H108" s="91">
        <f t="shared" si="22"/>
        <v>2.7171891593927819</v>
      </c>
      <c r="I108" s="91">
        <f t="shared" si="22"/>
        <v>2.937310677368886</v>
      </c>
      <c r="J108" s="91">
        <f t="shared" si="22"/>
        <v>3.1584348748931532</v>
      </c>
      <c r="K108" s="91">
        <f t="shared" si="22"/>
        <v>3.0116589774081732</v>
      </c>
      <c r="L108" s="91">
        <f t="shared" si="22"/>
        <v>2.865946771158149</v>
      </c>
      <c r="M108" s="91">
        <f t="shared" si="22"/>
        <v>2.7214138255270637</v>
      </c>
      <c r="N108" s="91">
        <f t="shared" si="22"/>
        <v>2.5781849766862956</v>
      </c>
      <c r="O108" s="91">
        <f t="shared" si="23"/>
        <v>2.4364197837683865</v>
      </c>
      <c r="P108" s="91">
        <f t="shared" si="23"/>
        <v>2.5247490403499993</v>
      </c>
      <c r="Q108" s="91">
        <f t="shared" si="23"/>
        <v>2.614740551884613</v>
      </c>
      <c r="R108" s="91">
        <f t="shared" si="23"/>
        <v>2.7064890774134596</v>
      </c>
      <c r="S108" s="91">
        <f t="shared" si="23"/>
        <v>2.8002057615276068</v>
      </c>
      <c r="T108" s="91">
        <f t="shared" si="23"/>
        <v>2.8962613679767548</v>
      </c>
      <c r="U108" s="91">
        <f t="shared" si="23"/>
        <v>3.2165614973160586</v>
      </c>
      <c r="V108" s="91">
        <f t="shared" si="23"/>
        <v>3.5392638935050083</v>
      </c>
      <c r="W108" s="91">
        <f t="shared" si="23"/>
        <v>3.8644495239010901</v>
      </c>
      <c r="X108" s="91">
        <f t="shared" si="23"/>
        <v>4.1924615727406396</v>
      </c>
      <c r="Y108" s="91">
        <f t="shared" si="24"/>
        <v>4.2800516606492476</v>
      </c>
      <c r="Z108" s="91">
        <f t="shared" si="24"/>
        <v>4.3691516851366385</v>
      </c>
      <c r="AA108" s="91">
        <f t="shared" si="24"/>
        <v>4.4597918449343901</v>
      </c>
      <c r="AB108" s="91">
        <f t="shared" si="24"/>
        <v>4.552002942748711</v>
      </c>
      <c r="AC108" s="91">
        <f t="shared" si="24"/>
        <v>4.6458163973399289</v>
      </c>
      <c r="AD108" s="91">
        <f t="shared" si="24"/>
        <v>4.7412642558435847</v>
      </c>
      <c r="AE108" s="91">
        <f t="shared" si="24"/>
        <v>4.8383792063379216</v>
      </c>
      <c r="AF108" s="91">
        <f t="shared" si="24"/>
        <v>4.9371945906627621</v>
      </c>
      <c r="AG108" s="91">
        <f t="shared" si="24"/>
        <v>5.0377444174947126</v>
      </c>
      <c r="AH108" s="91">
        <f t="shared" si="24"/>
        <v>5.1400633756839138</v>
      </c>
    </row>
    <row r="109" spans="2:34" ht="15" customHeight="1">
      <c r="B109" s="67" t="s">
        <v>59</v>
      </c>
      <c r="C109" s="91">
        <f t="shared" ca="1" si="21"/>
        <v>2.5906518567385168</v>
      </c>
      <c r="E109" s="91">
        <f t="shared" si="22"/>
        <v>0.8899773512130762</v>
      </c>
      <c r="F109" s="91">
        <f t="shared" si="22"/>
        <v>1.6936947892993035</v>
      </c>
      <c r="G109" s="91">
        <f t="shared" si="22"/>
        <v>2.4981463656927798</v>
      </c>
      <c r="H109" s="91">
        <f t="shared" si="22"/>
        <v>2.7171891593927819</v>
      </c>
      <c r="I109" s="91">
        <f t="shared" si="22"/>
        <v>2.937310677368886</v>
      </c>
      <c r="J109" s="91">
        <f t="shared" si="22"/>
        <v>3.1584348748931532</v>
      </c>
      <c r="K109" s="91">
        <f t="shared" si="22"/>
        <v>3.0116589774081732</v>
      </c>
      <c r="L109" s="91">
        <f t="shared" si="22"/>
        <v>2.865946771158149</v>
      </c>
      <c r="M109" s="91">
        <f t="shared" si="22"/>
        <v>2.7214138255270637</v>
      </c>
      <c r="N109" s="91">
        <f t="shared" si="22"/>
        <v>2.5781849766862956</v>
      </c>
      <c r="O109" s="91">
        <f t="shared" si="23"/>
        <v>2.4364197837683865</v>
      </c>
      <c r="P109" s="91">
        <f t="shared" si="23"/>
        <v>2.5247490403499993</v>
      </c>
      <c r="Q109" s="91">
        <f t="shared" si="23"/>
        <v>2.614740551884613</v>
      </c>
      <c r="R109" s="91">
        <f t="shared" si="23"/>
        <v>2.7064890774134596</v>
      </c>
      <c r="S109" s="91">
        <f t="shared" si="23"/>
        <v>2.8002057615276068</v>
      </c>
      <c r="T109" s="91">
        <f t="shared" si="23"/>
        <v>2.8962613679767548</v>
      </c>
      <c r="U109" s="91">
        <f t="shared" si="23"/>
        <v>3.2165614973160586</v>
      </c>
      <c r="V109" s="91">
        <f t="shared" si="23"/>
        <v>3.5392638935050083</v>
      </c>
      <c r="W109" s="91">
        <f t="shared" si="23"/>
        <v>3.8644495239010901</v>
      </c>
      <c r="X109" s="91">
        <f t="shared" si="23"/>
        <v>4.1924615727406396</v>
      </c>
      <c r="Y109" s="91">
        <f t="shared" si="24"/>
        <v>4.2800516606492476</v>
      </c>
      <c r="Z109" s="91">
        <f t="shared" si="24"/>
        <v>4.3691516851366385</v>
      </c>
      <c r="AA109" s="91">
        <f t="shared" si="24"/>
        <v>4.4597918449343901</v>
      </c>
      <c r="AB109" s="91">
        <f t="shared" si="24"/>
        <v>4.552002942748711</v>
      </c>
      <c r="AC109" s="91">
        <f t="shared" si="24"/>
        <v>4.6458163973399289</v>
      </c>
      <c r="AD109" s="91">
        <f t="shared" si="24"/>
        <v>4.7412642558435847</v>
      </c>
      <c r="AE109" s="91">
        <f t="shared" si="24"/>
        <v>4.8383792063379216</v>
      </c>
      <c r="AF109" s="91">
        <f t="shared" si="24"/>
        <v>4.9371945906627621</v>
      </c>
      <c r="AG109" s="91">
        <f t="shared" si="24"/>
        <v>5.0377444174947126</v>
      </c>
      <c r="AH109" s="91">
        <f t="shared" si="24"/>
        <v>5.1400633756839138</v>
      </c>
    </row>
    <row r="110" spans="2:34" ht="15" customHeight="1">
      <c r="B110" s="67" t="s">
        <v>60</v>
      </c>
      <c r="C110" s="91">
        <f t="shared" ca="1" si="21"/>
        <v>2.5906518567385168</v>
      </c>
      <c r="E110" s="91">
        <f t="shared" si="22"/>
        <v>0.8899773512130762</v>
      </c>
      <c r="F110" s="91">
        <f t="shared" si="22"/>
        <v>1.6936947892993035</v>
      </c>
      <c r="G110" s="91">
        <f t="shared" si="22"/>
        <v>2.4981463656927798</v>
      </c>
      <c r="H110" s="91">
        <f t="shared" si="22"/>
        <v>2.7171891593927819</v>
      </c>
      <c r="I110" s="91">
        <f t="shared" si="22"/>
        <v>2.937310677368886</v>
      </c>
      <c r="J110" s="91">
        <f t="shared" si="22"/>
        <v>3.1584348748931532</v>
      </c>
      <c r="K110" s="91">
        <f t="shared" si="22"/>
        <v>3.0116589774081732</v>
      </c>
      <c r="L110" s="91">
        <f t="shared" si="22"/>
        <v>2.865946771158149</v>
      </c>
      <c r="M110" s="91">
        <f t="shared" si="22"/>
        <v>2.7214138255270637</v>
      </c>
      <c r="N110" s="91">
        <f t="shared" si="22"/>
        <v>2.5781849766862956</v>
      </c>
      <c r="O110" s="91">
        <f t="shared" si="23"/>
        <v>2.4364197837683865</v>
      </c>
      <c r="P110" s="91">
        <f t="shared" si="23"/>
        <v>2.5247490403499993</v>
      </c>
      <c r="Q110" s="91">
        <f t="shared" si="23"/>
        <v>2.614740551884613</v>
      </c>
      <c r="R110" s="91">
        <f t="shared" si="23"/>
        <v>2.7064890774134596</v>
      </c>
      <c r="S110" s="91">
        <f t="shared" si="23"/>
        <v>2.8002057615276068</v>
      </c>
      <c r="T110" s="91">
        <f t="shared" si="23"/>
        <v>2.8962613679767548</v>
      </c>
      <c r="U110" s="91">
        <f t="shared" si="23"/>
        <v>3.2165614973160586</v>
      </c>
      <c r="V110" s="91">
        <f t="shared" si="23"/>
        <v>3.5392638935050083</v>
      </c>
      <c r="W110" s="91">
        <f t="shared" si="23"/>
        <v>3.8644495239010901</v>
      </c>
      <c r="X110" s="91">
        <f t="shared" si="23"/>
        <v>4.1924615727406396</v>
      </c>
      <c r="Y110" s="91">
        <f t="shared" si="24"/>
        <v>4.2800516606492476</v>
      </c>
      <c r="Z110" s="91">
        <f t="shared" si="24"/>
        <v>4.3691516851366385</v>
      </c>
      <c r="AA110" s="91">
        <f t="shared" si="24"/>
        <v>4.4597918449343901</v>
      </c>
      <c r="AB110" s="91">
        <f t="shared" si="24"/>
        <v>4.552002942748711</v>
      </c>
      <c r="AC110" s="91">
        <f t="shared" si="24"/>
        <v>4.6458163973399289</v>
      </c>
      <c r="AD110" s="91">
        <f t="shared" si="24"/>
        <v>4.7412642558435847</v>
      </c>
      <c r="AE110" s="91">
        <f t="shared" si="24"/>
        <v>4.8383792063379216</v>
      </c>
      <c r="AF110" s="91">
        <f t="shared" si="24"/>
        <v>4.9371945906627621</v>
      </c>
      <c r="AG110" s="91">
        <f t="shared" si="24"/>
        <v>5.0377444174947126</v>
      </c>
      <c r="AH110" s="91">
        <f t="shared" si="24"/>
        <v>5.1400633756839138</v>
      </c>
    </row>
    <row r="111" spans="2:34" ht="15" customHeight="1">
      <c r="B111" s="67" t="s">
        <v>61</v>
      </c>
      <c r="C111" s="91">
        <f t="shared" ca="1" si="21"/>
        <v>2.5906518567385168</v>
      </c>
      <c r="E111" s="91">
        <f t="shared" si="22"/>
        <v>0.8899773512130762</v>
      </c>
      <c r="F111" s="91">
        <f t="shared" si="22"/>
        <v>1.6936947892993035</v>
      </c>
      <c r="G111" s="91">
        <f t="shared" si="22"/>
        <v>2.4981463656927798</v>
      </c>
      <c r="H111" s="91">
        <f t="shared" si="22"/>
        <v>2.7171891593927819</v>
      </c>
      <c r="I111" s="91">
        <f t="shared" si="22"/>
        <v>2.937310677368886</v>
      </c>
      <c r="J111" s="91">
        <f t="shared" si="22"/>
        <v>3.1584348748931532</v>
      </c>
      <c r="K111" s="91">
        <f t="shared" si="22"/>
        <v>3.0116589774081732</v>
      </c>
      <c r="L111" s="91">
        <f t="shared" si="22"/>
        <v>2.865946771158149</v>
      </c>
      <c r="M111" s="91">
        <f t="shared" si="22"/>
        <v>2.7214138255270637</v>
      </c>
      <c r="N111" s="91">
        <f t="shared" si="22"/>
        <v>2.5781849766862956</v>
      </c>
      <c r="O111" s="91">
        <f t="shared" si="23"/>
        <v>2.4364197837683865</v>
      </c>
      <c r="P111" s="91">
        <f t="shared" si="23"/>
        <v>2.5247490403499993</v>
      </c>
      <c r="Q111" s="91">
        <f t="shared" si="23"/>
        <v>2.614740551884613</v>
      </c>
      <c r="R111" s="91">
        <f t="shared" si="23"/>
        <v>2.7064890774134596</v>
      </c>
      <c r="S111" s="91">
        <f t="shared" si="23"/>
        <v>2.8002057615276068</v>
      </c>
      <c r="T111" s="91">
        <f t="shared" si="23"/>
        <v>2.8962613679767548</v>
      </c>
      <c r="U111" s="91">
        <f t="shared" si="23"/>
        <v>3.2165614973160586</v>
      </c>
      <c r="V111" s="91">
        <f t="shared" si="23"/>
        <v>3.5392638935050083</v>
      </c>
      <c r="W111" s="91">
        <f t="shared" si="23"/>
        <v>3.8644495239010901</v>
      </c>
      <c r="X111" s="91">
        <f t="shared" si="23"/>
        <v>4.1924615727406396</v>
      </c>
      <c r="Y111" s="91">
        <f t="shared" si="24"/>
        <v>4.2800516606492476</v>
      </c>
      <c r="Z111" s="91">
        <f t="shared" si="24"/>
        <v>4.3691516851366385</v>
      </c>
      <c r="AA111" s="91">
        <f t="shared" si="24"/>
        <v>4.4597918449343901</v>
      </c>
      <c r="AB111" s="91">
        <f t="shared" si="24"/>
        <v>4.552002942748711</v>
      </c>
      <c r="AC111" s="91">
        <f t="shared" si="24"/>
        <v>4.6458163973399289</v>
      </c>
      <c r="AD111" s="91">
        <f t="shared" si="24"/>
        <v>4.7412642558435847</v>
      </c>
      <c r="AE111" s="91">
        <f t="shared" si="24"/>
        <v>4.8383792063379216</v>
      </c>
      <c r="AF111" s="91">
        <f t="shared" si="24"/>
        <v>4.9371945906627621</v>
      </c>
      <c r="AG111" s="91">
        <f t="shared" si="24"/>
        <v>5.0377444174947126</v>
      </c>
      <c r="AH111" s="91">
        <f t="shared" si="24"/>
        <v>5.1400633756839138</v>
      </c>
    </row>
    <row r="112" spans="2:34" ht="15" customHeight="1">
      <c r="B112" s="67" t="s">
        <v>62</v>
      </c>
      <c r="C112" s="91">
        <f t="shared" ca="1" si="21"/>
        <v>2.5906518567385168</v>
      </c>
      <c r="E112" s="91">
        <f t="shared" si="22"/>
        <v>0.8899773512130762</v>
      </c>
      <c r="F112" s="91">
        <f t="shared" si="22"/>
        <v>1.6936947892993035</v>
      </c>
      <c r="G112" s="91">
        <f t="shared" si="22"/>
        <v>2.4981463656927798</v>
      </c>
      <c r="H112" s="91">
        <f t="shared" si="22"/>
        <v>2.7171891593927819</v>
      </c>
      <c r="I112" s="91">
        <f t="shared" si="22"/>
        <v>2.937310677368886</v>
      </c>
      <c r="J112" s="91">
        <f t="shared" si="22"/>
        <v>3.1584348748931532</v>
      </c>
      <c r="K112" s="91">
        <f t="shared" si="22"/>
        <v>3.0116589774081732</v>
      </c>
      <c r="L112" s="91">
        <f t="shared" si="22"/>
        <v>2.865946771158149</v>
      </c>
      <c r="M112" s="91">
        <f t="shared" si="22"/>
        <v>2.7214138255270637</v>
      </c>
      <c r="N112" s="91">
        <f t="shared" si="22"/>
        <v>2.5781849766862956</v>
      </c>
      <c r="O112" s="91">
        <f t="shared" si="23"/>
        <v>2.4364197837683865</v>
      </c>
      <c r="P112" s="91">
        <f t="shared" si="23"/>
        <v>2.5247490403499993</v>
      </c>
      <c r="Q112" s="91">
        <f t="shared" si="23"/>
        <v>2.614740551884613</v>
      </c>
      <c r="R112" s="91">
        <f t="shared" si="23"/>
        <v>2.7064890774134596</v>
      </c>
      <c r="S112" s="91">
        <f t="shared" si="23"/>
        <v>2.8002057615276068</v>
      </c>
      <c r="T112" s="91">
        <f t="shared" si="23"/>
        <v>2.8962613679767548</v>
      </c>
      <c r="U112" s="91">
        <f t="shared" si="23"/>
        <v>3.2165614973160586</v>
      </c>
      <c r="V112" s="91">
        <f t="shared" si="23"/>
        <v>3.5392638935050083</v>
      </c>
      <c r="W112" s="91">
        <f t="shared" si="23"/>
        <v>3.8644495239010901</v>
      </c>
      <c r="X112" s="91">
        <f t="shared" si="23"/>
        <v>4.1924615727406396</v>
      </c>
      <c r="Y112" s="91">
        <f t="shared" si="24"/>
        <v>4.2800516606492476</v>
      </c>
      <c r="Z112" s="91">
        <f t="shared" si="24"/>
        <v>4.3691516851366385</v>
      </c>
      <c r="AA112" s="91">
        <f t="shared" si="24"/>
        <v>4.4597918449343901</v>
      </c>
      <c r="AB112" s="91">
        <f t="shared" si="24"/>
        <v>4.552002942748711</v>
      </c>
      <c r="AC112" s="91">
        <f t="shared" si="24"/>
        <v>4.6458163973399289</v>
      </c>
      <c r="AD112" s="91">
        <f t="shared" si="24"/>
        <v>4.7412642558435847</v>
      </c>
      <c r="AE112" s="91">
        <f t="shared" si="24"/>
        <v>4.8383792063379216</v>
      </c>
      <c r="AF112" s="91">
        <f t="shared" si="24"/>
        <v>4.9371945906627621</v>
      </c>
      <c r="AG112" s="91">
        <f t="shared" si="24"/>
        <v>5.0377444174947126</v>
      </c>
      <c r="AH112" s="91">
        <f t="shared" si="24"/>
        <v>5.1400633756839138</v>
      </c>
    </row>
    <row r="113" spans="2:34" ht="15" customHeight="1">
      <c r="B113" s="67" t="s">
        <v>63</v>
      </c>
      <c r="C113" s="91">
        <f t="shared" ca="1" si="21"/>
        <v>2.5906518567385168</v>
      </c>
      <c r="E113" s="91">
        <f t="shared" si="22"/>
        <v>0.8899773512130762</v>
      </c>
      <c r="F113" s="91">
        <f t="shared" si="22"/>
        <v>1.6936947892993035</v>
      </c>
      <c r="G113" s="91">
        <f t="shared" si="22"/>
        <v>2.4981463656927798</v>
      </c>
      <c r="H113" s="91">
        <f t="shared" si="22"/>
        <v>2.7171891593927819</v>
      </c>
      <c r="I113" s="91">
        <f t="shared" si="22"/>
        <v>2.937310677368886</v>
      </c>
      <c r="J113" s="91">
        <f t="shared" si="22"/>
        <v>3.1584348748931532</v>
      </c>
      <c r="K113" s="91">
        <f t="shared" si="22"/>
        <v>3.0116589774081732</v>
      </c>
      <c r="L113" s="91">
        <f t="shared" si="22"/>
        <v>2.865946771158149</v>
      </c>
      <c r="M113" s="91">
        <f t="shared" si="22"/>
        <v>2.7214138255270637</v>
      </c>
      <c r="N113" s="91">
        <f t="shared" si="22"/>
        <v>2.5781849766862956</v>
      </c>
      <c r="O113" s="91">
        <f t="shared" si="23"/>
        <v>2.4364197837683865</v>
      </c>
      <c r="P113" s="91">
        <f t="shared" si="23"/>
        <v>2.5247490403499993</v>
      </c>
      <c r="Q113" s="91">
        <f t="shared" si="23"/>
        <v>2.614740551884613</v>
      </c>
      <c r="R113" s="91">
        <f t="shared" si="23"/>
        <v>2.7064890774134596</v>
      </c>
      <c r="S113" s="91">
        <f t="shared" si="23"/>
        <v>2.8002057615276068</v>
      </c>
      <c r="T113" s="91">
        <f t="shared" si="23"/>
        <v>2.8962613679767548</v>
      </c>
      <c r="U113" s="91">
        <f t="shared" si="23"/>
        <v>3.2165614973160586</v>
      </c>
      <c r="V113" s="91">
        <f t="shared" si="23"/>
        <v>3.5392638935050083</v>
      </c>
      <c r="W113" s="91">
        <f t="shared" si="23"/>
        <v>3.8644495239010901</v>
      </c>
      <c r="X113" s="91">
        <f t="shared" si="23"/>
        <v>4.1924615727406396</v>
      </c>
      <c r="Y113" s="91">
        <f t="shared" si="24"/>
        <v>4.2800516606492476</v>
      </c>
      <c r="Z113" s="91">
        <f t="shared" si="24"/>
        <v>4.3691516851366385</v>
      </c>
      <c r="AA113" s="91">
        <f t="shared" si="24"/>
        <v>4.4597918449343901</v>
      </c>
      <c r="AB113" s="91">
        <f t="shared" si="24"/>
        <v>4.552002942748711</v>
      </c>
      <c r="AC113" s="91">
        <f t="shared" si="24"/>
        <v>4.6458163973399289</v>
      </c>
      <c r="AD113" s="91">
        <f t="shared" si="24"/>
        <v>4.7412642558435847</v>
      </c>
      <c r="AE113" s="91">
        <f t="shared" si="24"/>
        <v>4.8383792063379216</v>
      </c>
      <c r="AF113" s="91">
        <f t="shared" si="24"/>
        <v>4.9371945906627621</v>
      </c>
      <c r="AG113" s="91">
        <f t="shared" si="24"/>
        <v>5.0377444174947126</v>
      </c>
      <c r="AH113" s="91">
        <f t="shared" si="24"/>
        <v>5.1400633756839138</v>
      </c>
    </row>
    <row r="114" spans="2:34" ht="15" customHeight="1">
      <c r="B114" s="67" t="s">
        <v>64</v>
      </c>
      <c r="C114" s="91">
        <f t="shared" ca="1" si="21"/>
        <v>2.5906518567385168</v>
      </c>
      <c r="E114" s="91">
        <f t="shared" si="22"/>
        <v>0.8899773512130762</v>
      </c>
      <c r="F114" s="91">
        <f t="shared" si="22"/>
        <v>1.6936947892993035</v>
      </c>
      <c r="G114" s="91">
        <f t="shared" si="22"/>
        <v>2.4981463656927798</v>
      </c>
      <c r="H114" s="91">
        <f t="shared" si="22"/>
        <v>2.7171891593927819</v>
      </c>
      <c r="I114" s="91">
        <f t="shared" si="22"/>
        <v>2.937310677368886</v>
      </c>
      <c r="J114" s="91">
        <f t="shared" si="22"/>
        <v>3.1584348748931532</v>
      </c>
      <c r="K114" s="91">
        <f t="shared" si="22"/>
        <v>3.0116589774081732</v>
      </c>
      <c r="L114" s="91">
        <f t="shared" si="22"/>
        <v>2.865946771158149</v>
      </c>
      <c r="M114" s="91">
        <f t="shared" si="22"/>
        <v>2.7214138255270637</v>
      </c>
      <c r="N114" s="91">
        <f t="shared" si="22"/>
        <v>2.5781849766862956</v>
      </c>
      <c r="O114" s="91">
        <f t="shared" si="23"/>
        <v>2.4364197837683865</v>
      </c>
      <c r="P114" s="91">
        <f t="shared" si="23"/>
        <v>2.5247490403499993</v>
      </c>
      <c r="Q114" s="91">
        <f t="shared" si="23"/>
        <v>2.614740551884613</v>
      </c>
      <c r="R114" s="91">
        <f t="shared" si="23"/>
        <v>2.7064890774134596</v>
      </c>
      <c r="S114" s="91">
        <f t="shared" si="23"/>
        <v>2.8002057615276068</v>
      </c>
      <c r="T114" s="91">
        <f t="shared" si="23"/>
        <v>2.8962613679767548</v>
      </c>
      <c r="U114" s="91">
        <f t="shared" si="23"/>
        <v>3.2165614973160586</v>
      </c>
      <c r="V114" s="91">
        <f t="shared" si="23"/>
        <v>3.5392638935050083</v>
      </c>
      <c r="W114" s="91">
        <f t="shared" si="23"/>
        <v>3.8644495239010901</v>
      </c>
      <c r="X114" s="91">
        <f t="shared" si="23"/>
        <v>4.1924615727406396</v>
      </c>
      <c r="Y114" s="91">
        <f t="shared" si="24"/>
        <v>4.2800516606492476</v>
      </c>
      <c r="Z114" s="91">
        <f t="shared" si="24"/>
        <v>4.3691516851366385</v>
      </c>
      <c r="AA114" s="91">
        <f t="shared" si="24"/>
        <v>4.4597918449343901</v>
      </c>
      <c r="AB114" s="91">
        <f t="shared" si="24"/>
        <v>4.552002942748711</v>
      </c>
      <c r="AC114" s="91">
        <f t="shared" si="24"/>
        <v>4.6458163973399289</v>
      </c>
      <c r="AD114" s="91">
        <f t="shared" si="24"/>
        <v>4.7412642558435847</v>
      </c>
      <c r="AE114" s="91">
        <f t="shared" si="24"/>
        <v>4.8383792063379216</v>
      </c>
      <c r="AF114" s="91">
        <f t="shared" si="24"/>
        <v>4.9371945906627621</v>
      </c>
      <c r="AG114" s="91">
        <f t="shared" si="24"/>
        <v>5.0377444174947126</v>
      </c>
      <c r="AH114" s="91">
        <f t="shared" si="24"/>
        <v>5.1400633756839138</v>
      </c>
    </row>
    <row r="115" spans="2:34" ht="15" customHeight="1">
      <c r="B115" s="67" t="s">
        <v>65</v>
      </c>
      <c r="C115" s="91">
        <f t="shared" ca="1" si="21"/>
        <v>2.5906518567385168</v>
      </c>
      <c r="E115" s="91">
        <f t="shared" si="22"/>
        <v>0.8899773512130762</v>
      </c>
      <c r="F115" s="91">
        <f t="shared" si="22"/>
        <v>1.6936947892993035</v>
      </c>
      <c r="G115" s="91">
        <f t="shared" si="22"/>
        <v>2.4981463656927798</v>
      </c>
      <c r="H115" s="91">
        <f t="shared" si="22"/>
        <v>2.7171891593927819</v>
      </c>
      <c r="I115" s="91">
        <f t="shared" si="22"/>
        <v>2.937310677368886</v>
      </c>
      <c r="J115" s="91">
        <f t="shared" si="22"/>
        <v>3.1584348748931532</v>
      </c>
      <c r="K115" s="91">
        <f t="shared" si="22"/>
        <v>3.0116589774081732</v>
      </c>
      <c r="L115" s="91">
        <f t="shared" si="22"/>
        <v>2.865946771158149</v>
      </c>
      <c r="M115" s="91">
        <f t="shared" si="22"/>
        <v>2.7214138255270637</v>
      </c>
      <c r="N115" s="91">
        <f t="shared" si="22"/>
        <v>2.5781849766862956</v>
      </c>
      <c r="O115" s="91">
        <f t="shared" si="23"/>
        <v>2.4364197837683865</v>
      </c>
      <c r="P115" s="91">
        <f t="shared" si="23"/>
        <v>2.5247490403499993</v>
      </c>
      <c r="Q115" s="91">
        <f t="shared" si="23"/>
        <v>2.614740551884613</v>
      </c>
      <c r="R115" s="91">
        <f t="shared" si="23"/>
        <v>2.7064890774134596</v>
      </c>
      <c r="S115" s="91">
        <f t="shared" si="23"/>
        <v>2.8002057615276068</v>
      </c>
      <c r="T115" s="91">
        <f t="shared" si="23"/>
        <v>2.8962613679767548</v>
      </c>
      <c r="U115" s="91">
        <f t="shared" si="23"/>
        <v>3.2165614973160586</v>
      </c>
      <c r="V115" s="91">
        <f t="shared" si="23"/>
        <v>3.5392638935050083</v>
      </c>
      <c r="W115" s="91">
        <f t="shared" si="23"/>
        <v>3.8644495239010901</v>
      </c>
      <c r="X115" s="91">
        <f t="shared" si="23"/>
        <v>4.1924615727406396</v>
      </c>
      <c r="Y115" s="91">
        <f t="shared" si="24"/>
        <v>4.2800516606492476</v>
      </c>
      <c r="Z115" s="91">
        <f t="shared" si="24"/>
        <v>4.3691516851366385</v>
      </c>
      <c r="AA115" s="91">
        <f t="shared" si="24"/>
        <v>4.4597918449343901</v>
      </c>
      <c r="AB115" s="91">
        <f t="shared" si="24"/>
        <v>4.552002942748711</v>
      </c>
      <c r="AC115" s="91">
        <f t="shared" si="24"/>
        <v>4.6458163973399289</v>
      </c>
      <c r="AD115" s="91">
        <f t="shared" si="24"/>
        <v>4.7412642558435847</v>
      </c>
      <c r="AE115" s="91">
        <f t="shared" si="24"/>
        <v>4.8383792063379216</v>
      </c>
      <c r="AF115" s="91">
        <f t="shared" si="24"/>
        <v>4.9371945906627621</v>
      </c>
      <c r="AG115" s="91">
        <f t="shared" si="24"/>
        <v>5.0377444174947126</v>
      </c>
      <c r="AH115" s="91">
        <f t="shared" si="24"/>
        <v>5.1400633756839138</v>
      </c>
    </row>
    <row r="116" spans="2:34" ht="15" customHeight="1">
      <c r="B116" s="68" t="s">
        <v>66</v>
      </c>
      <c r="C116" s="91">
        <f t="shared" ca="1" si="21"/>
        <v>2.5906518567385168</v>
      </c>
      <c r="E116" s="91">
        <f t="shared" si="22"/>
        <v>0.8899773512130762</v>
      </c>
      <c r="F116" s="91">
        <f t="shared" si="22"/>
        <v>1.6936947892993035</v>
      </c>
      <c r="G116" s="91">
        <f t="shared" si="22"/>
        <v>2.4981463656927798</v>
      </c>
      <c r="H116" s="91">
        <f t="shared" si="22"/>
        <v>2.7171891593927819</v>
      </c>
      <c r="I116" s="91">
        <f t="shared" si="22"/>
        <v>2.937310677368886</v>
      </c>
      <c r="J116" s="91">
        <f t="shared" si="22"/>
        <v>3.1584348748931532</v>
      </c>
      <c r="K116" s="91">
        <f t="shared" si="22"/>
        <v>3.0116589774081732</v>
      </c>
      <c r="L116" s="91">
        <f t="shared" si="22"/>
        <v>2.865946771158149</v>
      </c>
      <c r="M116" s="91">
        <f t="shared" si="22"/>
        <v>2.7214138255270637</v>
      </c>
      <c r="N116" s="91">
        <f t="shared" si="22"/>
        <v>2.5781849766862956</v>
      </c>
      <c r="O116" s="91">
        <f t="shared" si="23"/>
        <v>2.4364197837683865</v>
      </c>
      <c r="P116" s="91">
        <f t="shared" si="23"/>
        <v>2.5247490403499993</v>
      </c>
      <c r="Q116" s="91">
        <f t="shared" si="23"/>
        <v>2.614740551884613</v>
      </c>
      <c r="R116" s="91">
        <f t="shared" si="23"/>
        <v>2.7064890774134596</v>
      </c>
      <c r="S116" s="91">
        <f t="shared" si="23"/>
        <v>2.8002057615276068</v>
      </c>
      <c r="T116" s="91">
        <f t="shared" si="23"/>
        <v>2.8962613679767548</v>
      </c>
      <c r="U116" s="91">
        <f t="shared" si="23"/>
        <v>3.2165614973160586</v>
      </c>
      <c r="V116" s="91">
        <f t="shared" si="23"/>
        <v>3.5392638935050083</v>
      </c>
      <c r="W116" s="91">
        <f t="shared" si="23"/>
        <v>3.8644495239010901</v>
      </c>
      <c r="X116" s="91">
        <f t="shared" si="23"/>
        <v>4.1924615727406396</v>
      </c>
      <c r="Y116" s="91">
        <f t="shared" si="24"/>
        <v>4.2800516606492476</v>
      </c>
      <c r="Z116" s="91">
        <f t="shared" si="24"/>
        <v>4.3691516851366385</v>
      </c>
      <c r="AA116" s="91">
        <f t="shared" si="24"/>
        <v>4.4597918449343901</v>
      </c>
      <c r="AB116" s="91">
        <f t="shared" si="24"/>
        <v>4.552002942748711</v>
      </c>
      <c r="AC116" s="91">
        <f t="shared" si="24"/>
        <v>4.6458163973399289</v>
      </c>
      <c r="AD116" s="91">
        <f t="shared" si="24"/>
        <v>4.7412642558435847</v>
      </c>
      <c r="AE116" s="91">
        <f t="shared" si="24"/>
        <v>4.8383792063379216</v>
      </c>
      <c r="AF116" s="91">
        <f t="shared" si="24"/>
        <v>4.9371945906627621</v>
      </c>
      <c r="AG116" s="91">
        <f t="shared" si="24"/>
        <v>5.0377444174947126</v>
      </c>
      <c r="AH116" s="91">
        <f t="shared" si="24"/>
        <v>5.1400633756839138</v>
      </c>
    </row>
    <row r="117" spans="2:34" ht="15" customHeight="1">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row>
    <row r="118" spans="2:34" ht="15" customHeight="1">
      <c r="B118" s="234" t="s">
        <v>42</v>
      </c>
      <c r="C118" s="234" t="s">
        <v>74</v>
      </c>
      <c r="D118" s="234"/>
      <c r="E118" s="234">
        <f t="shared" ref="E118:AH118" si="25">E$46</f>
        <v>2026</v>
      </c>
      <c r="F118" s="234">
        <f t="shared" si="25"/>
        <v>2027</v>
      </c>
      <c r="G118" s="234">
        <f t="shared" si="25"/>
        <v>2028</v>
      </c>
      <c r="H118" s="234">
        <f t="shared" si="25"/>
        <v>2029</v>
      </c>
      <c r="I118" s="234">
        <f t="shared" si="25"/>
        <v>2030</v>
      </c>
      <c r="J118" s="234">
        <f t="shared" si="25"/>
        <v>2031</v>
      </c>
      <c r="K118" s="234">
        <f t="shared" si="25"/>
        <v>2032</v>
      </c>
      <c r="L118" s="234">
        <f t="shared" si="25"/>
        <v>2033</v>
      </c>
      <c r="M118" s="234">
        <f t="shared" si="25"/>
        <v>2034</v>
      </c>
      <c r="N118" s="234">
        <f t="shared" si="25"/>
        <v>2035</v>
      </c>
      <c r="O118" s="234">
        <f t="shared" si="25"/>
        <v>2036</v>
      </c>
      <c r="P118" s="234">
        <f t="shared" si="25"/>
        <v>2037</v>
      </c>
      <c r="Q118" s="234">
        <f t="shared" si="25"/>
        <v>2038</v>
      </c>
      <c r="R118" s="234">
        <f t="shared" si="25"/>
        <v>2039</v>
      </c>
      <c r="S118" s="234">
        <f t="shared" si="25"/>
        <v>2040</v>
      </c>
      <c r="T118" s="234">
        <f t="shared" si="25"/>
        <v>2041</v>
      </c>
      <c r="U118" s="234">
        <f t="shared" si="25"/>
        <v>2042</v>
      </c>
      <c r="V118" s="234">
        <f t="shared" si="25"/>
        <v>2043</v>
      </c>
      <c r="W118" s="234">
        <f t="shared" si="25"/>
        <v>2044</v>
      </c>
      <c r="X118" s="234">
        <f t="shared" si="25"/>
        <v>2045</v>
      </c>
      <c r="Y118" s="234">
        <f t="shared" si="25"/>
        <v>2046</v>
      </c>
      <c r="Z118" s="234">
        <f t="shared" si="25"/>
        <v>2047</v>
      </c>
      <c r="AA118" s="234">
        <f t="shared" si="25"/>
        <v>2048</v>
      </c>
      <c r="AB118" s="234">
        <f t="shared" si="25"/>
        <v>2049</v>
      </c>
      <c r="AC118" s="234">
        <f t="shared" si="25"/>
        <v>2050</v>
      </c>
      <c r="AD118" s="234">
        <f t="shared" si="25"/>
        <v>2051</v>
      </c>
      <c r="AE118" s="234">
        <f t="shared" si="25"/>
        <v>2052</v>
      </c>
      <c r="AF118" s="234">
        <f t="shared" si="25"/>
        <v>2053</v>
      </c>
      <c r="AG118" s="234">
        <f t="shared" si="25"/>
        <v>2054</v>
      </c>
      <c r="AH118" s="234">
        <f t="shared" si="25"/>
        <v>2055</v>
      </c>
    </row>
    <row r="119" spans="2:34" ht="15" customHeight="1">
      <c r="B119" s="67" t="s">
        <v>52</v>
      </c>
      <c r="C119" s="91">
        <f t="shared" ref="C119:C130" ca="1" si="26">-PMT($C$17,$C$15,NPV($C$17,OFFSET(E119,0,$C$72,1,$C$15)))</f>
        <v>0.12900535130388813</v>
      </c>
      <c r="E119" s="91">
        <f t="shared" ref="E119:N130" si="27">E$51*$C$25</f>
        <v>3.9108593423967816E-2</v>
      </c>
      <c r="F119" s="91">
        <f t="shared" si="27"/>
        <v>8.3202060200776584E-2</v>
      </c>
      <c r="G119" s="91">
        <f t="shared" si="27"/>
        <v>0.12733641848129912</v>
      </c>
      <c r="H119" s="91">
        <f t="shared" si="27"/>
        <v>0.13886350756579513</v>
      </c>
      <c r="I119" s="91">
        <f t="shared" si="27"/>
        <v>0.15045068159246999</v>
      </c>
      <c r="J119" s="91">
        <f t="shared" si="27"/>
        <v>0.16209370486997757</v>
      </c>
      <c r="K119" s="91">
        <f t="shared" si="27"/>
        <v>0.15324469285547032</v>
      </c>
      <c r="L119" s="91">
        <f t="shared" si="27"/>
        <v>0.14445492844274987</v>
      </c>
      <c r="M119" s="91">
        <f t="shared" si="27"/>
        <v>0.1357308488465043</v>
      </c>
      <c r="N119" s="91">
        <f t="shared" si="27"/>
        <v>0.12707940744147944</v>
      </c>
      <c r="O119" s="91">
        <f t="shared" ref="O119:X130" si="28">O$51*$C$25</f>
        <v>0.11850949167135778</v>
      </c>
      <c r="P119" s="91">
        <f t="shared" si="28"/>
        <v>0.12275583673835951</v>
      </c>
      <c r="Q119" s="91">
        <f t="shared" si="28"/>
        <v>0.12709476940624337</v>
      </c>
      <c r="R119" s="91">
        <f t="shared" si="28"/>
        <v>0.13153156775360628</v>
      </c>
      <c r="S119" s="91">
        <f t="shared" si="28"/>
        <v>0.13607799253417016</v>
      </c>
      <c r="T119" s="91">
        <f t="shared" si="28"/>
        <v>0.14075469528879359</v>
      </c>
      <c r="U119" s="91">
        <f t="shared" si="28"/>
        <v>0.15792181796839871</v>
      </c>
      <c r="V119" s="91">
        <f t="shared" si="28"/>
        <v>0.17522274691152911</v>
      </c>
      <c r="W119" s="91">
        <f t="shared" si="28"/>
        <v>0.19266199199999676</v>
      </c>
      <c r="X119" s="91">
        <f t="shared" si="28"/>
        <v>0.21025866859576581</v>
      </c>
      <c r="Y119" s="91">
        <f t="shared" ref="Y119:AH130" si="29">Y$51*$C$25</f>
        <v>0.21446384196768112</v>
      </c>
      <c r="Z119" s="91">
        <f t="shared" si="29"/>
        <v>0.21875311880703471</v>
      </c>
      <c r="AA119" s="91">
        <f t="shared" si="29"/>
        <v>0.2231281811831754</v>
      </c>
      <c r="AB119" s="91">
        <f t="shared" si="29"/>
        <v>0.22759074480683894</v>
      </c>
      <c r="AC119" s="91">
        <f t="shared" si="29"/>
        <v>0.23214255970297568</v>
      </c>
      <c r="AD119" s="91">
        <f t="shared" si="29"/>
        <v>0.23678541089703523</v>
      </c>
      <c r="AE119" s="91">
        <f t="shared" si="29"/>
        <v>0.2415211191149759</v>
      </c>
      <c r="AF119" s="91">
        <f t="shared" si="29"/>
        <v>0.24635154149727542</v>
      </c>
      <c r="AG119" s="91">
        <f t="shared" si="29"/>
        <v>0.25127857232722095</v>
      </c>
      <c r="AH119" s="91">
        <f t="shared" si="29"/>
        <v>0.25630414377376537</v>
      </c>
    </row>
    <row r="120" spans="2:34" ht="15" customHeight="1">
      <c r="B120" s="67" t="s">
        <v>54</v>
      </c>
      <c r="C120" s="91">
        <f t="shared" ca="1" si="26"/>
        <v>0.12900535130388813</v>
      </c>
      <c r="E120" s="91">
        <f t="shared" si="27"/>
        <v>3.9108593423967816E-2</v>
      </c>
      <c r="F120" s="91">
        <f t="shared" si="27"/>
        <v>8.3202060200776584E-2</v>
      </c>
      <c r="G120" s="91">
        <f t="shared" si="27"/>
        <v>0.12733641848129912</v>
      </c>
      <c r="H120" s="91">
        <f t="shared" si="27"/>
        <v>0.13886350756579513</v>
      </c>
      <c r="I120" s="91">
        <f t="shared" si="27"/>
        <v>0.15045068159246999</v>
      </c>
      <c r="J120" s="91">
        <f t="shared" si="27"/>
        <v>0.16209370486997757</v>
      </c>
      <c r="K120" s="91">
        <f t="shared" si="27"/>
        <v>0.15324469285547032</v>
      </c>
      <c r="L120" s="91">
        <f t="shared" si="27"/>
        <v>0.14445492844274987</v>
      </c>
      <c r="M120" s="91">
        <f t="shared" si="27"/>
        <v>0.1357308488465043</v>
      </c>
      <c r="N120" s="91">
        <f t="shared" si="27"/>
        <v>0.12707940744147944</v>
      </c>
      <c r="O120" s="91">
        <f t="shared" si="28"/>
        <v>0.11850949167135778</v>
      </c>
      <c r="P120" s="91">
        <f t="shared" si="28"/>
        <v>0.12275583673835951</v>
      </c>
      <c r="Q120" s="91">
        <f t="shared" si="28"/>
        <v>0.12709476940624337</v>
      </c>
      <c r="R120" s="91">
        <f t="shared" si="28"/>
        <v>0.13153156775360628</v>
      </c>
      <c r="S120" s="91">
        <f t="shared" si="28"/>
        <v>0.13607799253417016</v>
      </c>
      <c r="T120" s="91">
        <f t="shared" si="28"/>
        <v>0.14075469528879359</v>
      </c>
      <c r="U120" s="91">
        <f t="shared" si="28"/>
        <v>0.15792181796839871</v>
      </c>
      <c r="V120" s="91">
        <f t="shared" si="28"/>
        <v>0.17522274691152911</v>
      </c>
      <c r="W120" s="91">
        <f t="shared" si="28"/>
        <v>0.19266199199999676</v>
      </c>
      <c r="X120" s="91">
        <f t="shared" si="28"/>
        <v>0.21025866859576581</v>
      </c>
      <c r="Y120" s="91">
        <f t="shared" si="29"/>
        <v>0.21446384196768112</v>
      </c>
      <c r="Z120" s="91">
        <f t="shared" si="29"/>
        <v>0.21875311880703471</v>
      </c>
      <c r="AA120" s="91">
        <f t="shared" si="29"/>
        <v>0.2231281811831754</v>
      </c>
      <c r="AB120" s="91">
        <f t="shared" si="29"/>
        <v>0.22759074480683894</v>
      </c>
      <c r="AC120" s="91">
        <f t="shared" si="29"/>
        <v>0.23214255970297568</v>
      </c>
      <c r="AD120" s="91">
        <f t="shared" si="29"/>
        <v>0.23678541089703523</v>
      </c>
      <c r="AE120" s="91">
        <f t="shared" si="29"/>
        <v>0.2415211191149759</v>
      </c>
      <c r="AF120" s="91">
        <f t="shared" si="29"/>
        <v>0.24635154149727542</v>
      </c>
      <c r="AG120" s="91">
        <f t="shared" si="29"/>
        <v>0.25127857232722095</v>
      </c>
      <c r="AH120" s="91">
        <f t="shared" si="29"/>
        <v>0.25630414377376537</v>
      </c>
    </row>
    <row r="121" spans="2:34" ht="15" customHeight="1">
      <c r="B121" s="67" t="s">
        <v>56</v>
      </c>
      <c r="C121" s="91">
        <f t="shared" ca="1" si="26"/>
        <v>0.12900535130388813</v>
      </c>
      <c r="E121" s="91">
        <f t="shared" si="27"/>
        <v>3.9108593423967816E-2</v>
      </c>
      <c r="F121" s="91">
        <f t="shared" si="27"/>
        <v>8.3202060200776584E-2</v>
      </c>
      <c r="G121" s="91">
        <f t="shared" si="27"/>
        <v>0.12733641848129912</v>
      </c>
      <c r="H121" s="91">
        <f t="shared" si="27"/>
        <v>0.13886350756579513</v>
      </c>
      <c r="I121" s="91">
        <f t="shared" si="27"/>
        <v>0.15045068159246999</v>
      </c>
      <c r="J121" s="91">
        <f t="shared" si="27"/>
        <v>0.16209370486997757</v>
      </c>
      <c r="K121" s="91">
        <f t="shared" si="27"/>
        <v>0.15324469285547032</v>
      </c>
      <c r="L121" s="91">
        <f t="shared" si="27"/>
        <v>0.14445492844274987</v>
      </c>
      <c r="M121" s="91">
        <f t="shared" si="27"/>
        <v>0.1357308488465043</v>
      </c>
      <c r="N121" s="91">
        <f t="shared" si="27"/>
        <v>0.12707940744147944</v>
      </c>
      <c r="O121" s="91">
        <f t="shared" si="28"/>
        <v>0.11850949167135778</v>
      </c>
      <c r="P121" s="91">
        <f t="shared" si="28"/>
        <v>0.12275583673835951</v>
      </c>
      <c r="Q121" s="91">
        <f t="shared" si="28"/>
        <v>0.12709476940624337</v>
      </c>
      <c r="R121" s="91">
        <f t="shared" si="28"/>
        <v>0.13153156775360628</v>
      </c>
      <c r="S121" s="91">
        <f t="shared" si="28"/>
        <v>0.13607799253417016</v>
      </c>
      <c r="T121" s="91">
        <f t="shared" si="28"/>
        <v>0.14075469528879359</v>
      </c>
      <c r="U121" s="91">
        <f t="shared" si="28"/>
        <v>0.15792181796839871</v>
      </c>
      <c r="V121" s="91">
        <f t="shared" si="28"/>
        <v>0.17522274691152911</v>
      </c>
      <c r="W121" s="91">
        <f t="shared" si="28"/>
        <v>0.19266199199999676</v>
      </c>
      <c r="X121" s="91">
        <f t="shared" si="28"/>
        <v>0.21025866859576581</v>
      </c>
      <c r="Y121" s="91">
        <f t="shared" si="29"/>
        <v>0.21446384196768112</v>
      </c>
      <c r="Z121" s="91">
        <f t="shared" si="29"/>
        <v>0.21875311880703471</v>
      </c>
      <c r="AA121" s="91">
        <f t="shared" si="29"/>
        <v>0.2231281811831754</v>
      </c>
      <c r="AB121" s="91">
        <f t="shared" si="29"/>
        <v>0.22759074480683894</v>
      </c>
      <c r="AC121" s="91">
        <f t="shared" si="29"/>
        <v>0.23214255970297568</v>
      </c>
      <c r="AD121" s="91">
        <f t="shared" si="29"/>
        <v>0.23678541089703523</v>
      </c>
      <c r="AE121" s="91">
        <f t="shared" si="29"/>
        <v>0.2415211191149759</v>
      </c>
      <c r="AF121" s="91">
        <f t="shared" si="29"/>
        <v>0.24635154149727542</v>
      </c>
      <c r="AG121" s="91">
        <f t="shared" si="29"/>
        <v>0.25127857232722095</v>
      </c>
      <c r="AH121" s="91">
        <f t="shared" si="29"/>
        <v>0.25630414377376537</v>
      </c>
    </row>
    <row r="122" spans="2:34" ht="15" customHeight="1">
      <c r="B122" s="67" t="s">
        <v>58</v>
      </c>
      <c r="C122" s="91">
        <f t="shared" ca="1" si="26"/>
        <v>0.12900535130388813</v>
      </c>
      <c r="E122" s="91">
        <f t="shared" si="27"/>
        <v>3.9108593423967816E-2</v>
      </c>
      <c r="F122" s="91">
        <f t="shared" si="27"/>
        <v>8.3202060200776584E-2</v>
      </c>
      <c r="G122" s="91">
        <f t="shared" si="27"/>
        <v>0.12733641848129912</v>
      </c>
      <c r="H122" s="91">
        <f t="shared" si="27"/>
        <v>0.13886350756579513</v>
      </c>
      <c r="I122" s="91">
        <f t="shared" si="27"/>
        <v>0.15045068159246999</v>
      </c>
      <c r="J122" s="91">
        <f t="shared" si="27"/>
        <v>0.16209370486997757</v>
      </c>
      <c r="K122" s="91">
        <f t="shared" si="27"/>
        <v>0.15324469285547032</v>
      </c>
      <c r="L122" s="91">
        <f t="shared" si="27"/>
        <v>0.14445492844274987</v>
      </c>
      <c r="M122" s="91">
        <f t="shared" si="27"/>
        <v>0.1357308488465043</v>
      </c>
      <c r="N122" s="91">
        <f t="shared" si="27"/>
        <v>0.12707940744147944</v>
      </c>
      <c r="O122" s="91">
        <f t="shared" si="28"/>
        <v>0.11850949167135778</v>
      </c>
      <c r="P122" s="91">
        <f t="shared" si="28"/>
        <v>0.12275583673835951</v>
      </c>
      <c r="Q122" s="91">
        <f t="shared" si="28"/>
        <v>0.12709476940624337</v>
      </c>
      <c r="R122" s="91">
        <f t="shared" si="28"/>
        <v>0.13153156775360628</v>
      </c>
      <c r="S122" s="91">
        <f t="shared" si="28"/>
        <v>0.13607799253417016</v>
      </c>
      <c r="T122" s="91">
        <f t="shared" si="28"/>
        <v>0.14075469528879359</v>
      </c>
      <c r="U122" s="91">
        <f t="shared" si="28"/>
        <v>0.15792181796839871</v>
      </c>
      <c r="V122" s="91">
        <f t="shared" si="28"/>
        <v>0.17522274691152911</v>
      </c>
      <c r="W122" s="91">
        <f t="shared" si="28"/>
        <v>0.19266199199999676</v>
      </c>
      <c r="X122" s="91">
        <f t="shared" si="28"/>
        <v>0.21025866859576581</v>
      </c>
      <c r="Y122" s="91">
        <f t="shared" si="29"/>
        <v>0.21446384196768112</v>
      </c>
      <c r="Z122" s="91">
        <f t="shared" si="29"/>
        <v>0.21875311880703471</v>
      </c>
      <c r="AA122" s="91">
        <f t="shared" si="29"/>
        <v>0.2231281811831754</v>
      </c>
      <c r="AB122" s="91">
        <f t="shared" si="29"/>
        <v>0.22759074480683894</v>
      </c>
      <c r="AC122" s="91">
        <f t="shared" si="29"/>
        <v>0.23214255970297568</v>
      </c>
      <c r="AD122" s="91">
        <f t="shared" si="29"/>
        <v>0.23678541089703523</v>
      </c>
      <c r="AE122" s="91">
        <f t="shared" si="29"/>
        <v>0.2415211191149759</v>
      </c>
      <c r="AF122" s="91">
        <f t="shared" si="29"/>
        <v>0.24635154149727542</v>
      </c>
      <c r="AG122" s="91">
        <f t="shared" si="29"/>
        <v>0.25127857232722095</v>
      </c>
      <c r="AH122" s="91">
        <f t="shared" si="29"/>
        <v>0.25630414377376537</v>
      </c>
    </row>
    <row r="123" spans="2:34" ht="15" customHeight="1">
      <c r="B123" s="67" t="s">
        <v>59</v>
      </c>
      <c r="C123" s="91">
        <f t="shared" ca="1" si="26"/>
        <v>0.12900535130388813</v>
      </c>
      <c r="E123" s="91">
        <f t="shared" si="27"/>
        <v>3.9108593423967816E-2</v>
      </c>
      <c r="F123" s="91">
        <f t="shared" si="27"/>
        <v>8.3202060200776584E-2</v>
      </c>
      <c r="G123" s="91">
        <f t="shared" si="27"/>
        <v>0.12733641848129912</v>
      </c>
      <c r="H123" s="91">
        <f t="shared" si="27"/>
        <v>0.13886350756579513</v>
      </c>
      <c r="I123" s="91">
        <f t="shared" si="27"/>
        <v>0.15045068159246999</v>
      </c>
      <c r="J123" s="91">
        <f t="shared" si="27"/>
        <v>0.16209370486997757</v>
      </c>
      <c r="K123" s="91">
        <f t="shared" si="27"/>
        <v>0.15324469285547032</v>
      </c>
      <c r="L123" s="91">
        <f t="shared" si="27"/>
        <v>0.14445492844274987</v>
      </c>
      <c r="M123" s="91">
        <f t="shared" si="27"/>
        <v>0.1357308488465043</v>
      </c>
      <c r="N123" s="91">
        <f t="shared" si="27"/>
        <v>0.12707940744147944</v>
      </c>
      <c r="O123" s="91">
        <f t="shared" si="28"/>
        <v>0.11850949167135778</v>
      </c>
      <c r="P123" s="91">
        <f t="shared" si="28"/>
        <v>0.12275583673835951</v>
      </c>
      <c r="Q123" s="91">
        <f t="shared" si="28"/>
        <v>0.12709476940624337</v>
      </c>
      <c r="R123" s="91">
        <f t="shared" si="28"/>
        <v>0.13153156775360628</v>
      </c>
      <c r="S123" s="91">
        <f t="shared" si="28"/>
        <v>0.13607799253417016</v>
      </c>
      <c r="T123" s="91">
        <f t="shared" si="28"/>
        <v>0.14075469528879359</v>
      </c>
      <c r="U123" s="91">
        <f t="shared" si="28"/>
        <v>0.15792181796839871</v>
      </c>
      <c r="V123" s="91">
        <f t="shared" si="28"/>
        <v>0.17522274691152911</v>
      </c>
      <c r="W123" s="91">
        <f t="shared" si="28"/>
        <v>0.19266199199999676</v>
      </c>
      <c r="X123" s="91">
        <f t="shared" si="28"/>
        <v>0.21025866859576581</v>
      </c>
      <c r="Y123" s="91">
        <f t="shared" si="29"/>
        <v>0.21446384196768112</v>
      </c>
      <c r="Z123" s="91">
        <f t="shared" si="29"/>
        <v>0.21875311880703471</v>
      </c>
      <c r="AA123" s="91">
        <f t="shared" si="29"/>
        <v>0.2231281811831754</v>
      </c>
      <c r="AB123" s="91">
        <f t="shared" si="29"/>
        <v>0.22759074480683894</v>
      </c>
      <c r="AC123" s="91">
        <f t="shared" si="29"/>
        <v>0.23214255970297568</v>
      </c>
      <c r="AD123" s="91">
        <f t="shared" si="29"/>
        <v>0.23678541089703523</v>
      </c>
      <c r="AE123" s="91">
        <f t="shared" si="29"/>
        <v>0.2415211191149759</v>
      </c>
      <c r="AF123" s="91">
        <f t="shared" si="29"/>
        <v>0.24635154149727542</v>
      </c>
      <c r="AG123" s="91">
        <f t="shared" si="29"/>
        <v>0.25127857232722095</v>
      </c>
      <c r="AH123" s="91">
        <f t="shared" si="29"/>
        <v>0.25630414377376537</v>
      </c>
    </row>
    <row r="124" spans="2:34" ht="15" customHeight="1">
      <c r="B124" s="67" t="s">
        <v>60</v>
      </c>
      <c r="C124" s="91">
        <f t="shared" ca="1" si="26"/>
        <v>0.12900535130388813</v>
      </c>
      <c r="E124" s="91">
        <f t="shared" si="27"/>
        <v>3.9108593423967816E-2</v>
      </c>
      <c r="F124" s="91">
        <f t="shared" si="27"/>
        <v>8.3202060200776584E-2</v>
      </c>
      <c r="G124" s="91">
        <f t="shared" si="27"/>
        <v>0.12733641848129912</v>
      </c>
      <c r="H124" s="91">
        <f t="shared" si="27"/>
        <v>0.13886350756579513</v>
      </c>
      <c r="I124" s="91">
        <f t="shared" si="27"/>
        <v>0.15045068159246999</v>
      </c>
      <c r="J124" s="91">
        <f t="shared" si="27"/>
        <v>0.16209370486997757</v>
      </c>
      <c r="K124" s="91">
        <f t="shared" si="27"/>
        <v>0.15324469285547032</v>
      </c>
      <c r="L124" s="91">
        <f t="shared" si="27"/>
        <v>0.14445492844274987</v>
      </c>
      <c r="M124" s="91">
        <f t="shared" si="27"/>
        <v>0.1357308488465043</v>
      </c>
      <c r="N124" s="91">
        <f t="shared" si="27"/>
        <v>0.12707940744147944</v>
      </c>
      <c r="O124" s="91">
        <f t="shared" si="28"/>
        <v>0.11850949167135778</v>
      </c>
      <c r="P124" s="91">
        <f t="shared" si="28"/>
        <v>0.12275583673835951</v>
      </c>
      <c r="Q124" s="91">
        <f t="shared" si="28"/>
        <v>0.12709476940624337</v>
      </c>
      <c r="R124" s="91">
        <f t="shared" si="28"/>
        <v>0.13153156775360628</v>
      </c>
      <c r="S124" s="91">
        <f t="shared" si="28"/>
        <v>0.13607799253417016</v>
      </c>
      <c r="T124" s="91">
        <f t="shared" si="28"/>
        <v>0.14075469528879359</v>
      </c>
      <c r="U124" s="91">
        <f t="shared" si="28"/>
        <v>0.15792181796839871</v>
      </c>
      <c r="V124" s="91">
        <f t="shared" si="28"/>
        <v>0.17522274691152911</v>
      </c>
      <c r="W124" s="91">
        <f t="shared" si="28"/>
        <v>0.19266199199999676</v>
      </c>
      <c r="X124" s="91">
        <f t="shared" si="28"/>
        <v>0.21025866859576581</v>
      </c>
      <c r="Y124" s="91">
        <f t="shared" si="29"/>
        <v>0.21446384196768112</v>
      </c>
      <c r="Z124" s="91">
        <f t="shared" si="29"/>
        <v>0.21875311880703471</v>
      </c>
      <c r="AA124" s="91">
        <f t="shared" si="29"/>
        <v>0.2231281811831754</v>
      </c>
      <c r="AB124" s="91">
        <f t="shared" si="29"/>
        <v>0.22759074480683894</v>
      </c>
      <c r="AC124" s="91">
        <f t="shared" si="29"/>
        <v>0.23214255970297568</v>
      </c>
      <c r="AD124" s="91">
        <f t="shared" si="29"/>
        <v>0.23678541089703523</v>
      </c>
      <c r="AE124" s="91">
        <f t="shared" si="29"/>
        <v>0.2415211191149759</v>
      </c>
      <c r="AF124" s="91">
        <f t="shared" si="29"/>
        <v>0.24635154149727542</v>
      </c>
      <c r="AG124" s="91">
        <f t="shared" si="29"/>
        <v>0.25127857232722095</v>
      </c>
      <c r="AH124" s="91">
        <f t="shared" si="29"/>
        <v>0.25630414377376537</v>
      </c>
    </row>
    <row r="125" spans="2:34" ht="15" customHeight="1">
      <c r="B125" s="67" t="s">
        <v>61</v>
      </c>
      <c r="C125" s="91">
        <f t="shared" ca="1" si="26"/>
        <v>0.12900535130388813</v>
      </c>
      <c r="E125" s="91">
        <f t="shared" si="27"/>
        <v>3.9108593423967816E-2</v>
      </c>
      <c r="F125" s="91">
        <f t="shared" si="27"/>
        <v>8.3202060200776584E-2</v>
      </c>
      <c r="G125" s="91">
        <f t="shared" si="27"/>
        <v>0.12733641848129912</v>
      </c>
      <c r="H125" s="91">
        <f t="shared" si="27"/>
        <v>0.13886350756579513</v>
      </c>
      <c r="I125" s="91">
        <f t="shared" si="27"/>
        <v>0.15045068159246999</v>
      </c>
      <c r="J125" s="91">
        <f t="shared" si="27"/>
        <v>0.16209370486997757</v>
      </c>
      <c r="K125" s="91">
        <f t="shared" si="27"/>
        <v>0.15324469285547032</v>
      </c>
      <c r="L125" s="91">
        <f t="shared" si="27"/>
        <v>0.14445492844274987</v>
      </c>
      <c r="M125" s="91">
        <f t="shared" si="27"/>
        <v>0.1357308488465043</v>
      </c>
      <c r="N125" s="91">
        <f t="shared" si="27"/>
        <v>0.12707940744147944</v>
      </c>
      <c r="O125" s="91">
        <f t="shared" si="28"/>
        <v>0.11850949167135778</v>
      </c>
      <c r="P125" s="91">
        <f t="shared" si="28"/>
        <v>0.12275583673835951</v>
      </c>
      <c r="Q125" s="91">
        <f t="shared" si="28"/>
        <v>0.12709476940624337</v>
      </c>
      <c r="R125" s="91">
        <f t="shared" si="28"/>
        <v>0.13153156775360628</v>
      </c>
      <c r="S125" s="91">
        <f t="shared" si="28"/>
        <v>0.13607799253417016</v>
      </c>
      <c r="T125" s="91">
        <f t="shared" si="28"/>
        <v>0.14075469528879359</v>
      </c>
      <c r="U125" s="91">
        <f t="shared" si="28"/>
        <v>0.15792181796839871</v>
      </c>
      <c r="V125" s="91">
        <f t="shared" si="28"/>
        <v>0.17522274691152911</v>
      </c>
      <c r="W125" s="91">
        <f t="shared" si="28"/>
        <v>0.19266199199999676</v>
      </c>
      <c r="X125" s="91">
        <f t="shared" si="28"/>
        <v>0.21025866859576581</v>
      </c>
      <c r="Y125" s="91">
        <f t="shared" si="29"/>
        <v>0.21446384196768112</v>
      </c>
      <c r="Z125" s="91">
        <f t="shared" si="29"/>
        <v>0.21875311880703471</v>
      </c>
      <c r="AA125" s="91">
        <f t="shared" si="29"/>
        <v>0.2231281811831754</v>
      </c>
      <c r="AB125" s="91">
        <f t="shared" si="29"/>
        <v>0.22759074480683894</v>
      </c>
      <c r="AC125" s="91">
        <f t="shared" si="29"/>
        <v>0.23214255970297568</v>
      </c>
      <c r="AD125" s="91">
        <f t="shared" si="29"/>
        <v>0.23678541089703523</v>
      </c>
      <c r="AE125" s="91">
        <f t="shared" si="29"/>
        <v>0.2415211191149759</v>
      </c>
      <c r="AF125" s="91">
        <f t="shared" si="29"/>
        <v>0.24635154149727542</v>
      </c>
      <c r="AG125" s="91">
        <f t="shared" si="29"/>
        <v>0.25127857232722095</v>
      </c>
      <c r="AH125" s="91">
        <f t="shared" si="29"/>
        <v>0.25630414377376537</v>
      </c>
    </row>
    <row r="126" spans="2:34" ht="15" customHeight="1">
      <c r="B126" s="67" t="s">
        <v>62</v>
      </c>
      <c r="C126" s="91">
        <f t="shared" ca="1" si="26"/>
        <v>0.12900535130388813</v>
      </c>
      <c r="E126" s="91">
        <f t="shared" si="27"/>
        <v>3.9108593423967816E-2</v>
      </c>
      <c r="F126" s="91">
        <f t="shared" si="27"/>
        <v>8.3202060200776584E-2</v>
      </c>
      <c r="G126" s="91">
        <f t="shared" si="27"/>
        <v>0.12733641848129912</v>
      </c>
      <c r="H126" s="91">
        <f t="shared" si="27"/>
        <v>0.13886350756579513</v>
      </c>
      <c r="I126" s="91">
        <f t="shared" si="27"/>
        <v>0.15045068159246999</v>
      </c>
      <c r="J126" s="91">
        <f t="shared" si="27"/>
        <v>0.16209370486997757</v>
      </c>
      <c r="K126" s="91">
        <f t="shared" si="27"/>
        <v>0.15324469285547032</v>
      </c>
      <c r="L126" s="91">
        <f t="shared" si="27"/>
        <v>0.14445492844274987</v>
      </c>
      <c r="M126" s="91">
        <f t="shared" si="27"/>
        <v>0.1357308488465043</v>
      </c>
      <c r="N126" s="91">
        <f t="shared" si="27"/>
        <v>0.12707940744147944</v>
      </c>
      <c r="O126" s="91">
        <f t="shared" si="28"/>
        <v>0.11850949167135778</v>
      </c>
      <c r="P126" s="91">
        <f t="shared" si="28"/>
        <v>0.12275583673835951</v>
      </c>
      <c r="Q126" s="91">
        <f t="shared" si="28"/>
        <v>0.12709476940624337</v>
      </c>
      <c r="R126" s="91">
        <f t="shared" si="28"/>
        <v>0.13153156775360628</v>
      </c>
      <c r="S126" s="91">
        <f t="shared" si="28"/>
        <v>0.13607799253417016</v>
      </c>
      <c r="T126" s="91">
        <f t="shared" si="28"/>
        <v>0.14075469528879359</v>
      </c>
      <c r="U126" s="91">
        <f t="shared" si="28"/>
        <v>0.15792181796839871</v>
      </c>
      <c r="V126" s="91">
        <f t="shared" si="28"/>
        <v>0.17522274691152911</v>
      </c>
      <c r="W126" s="91">
        <f t="shared" si="28"/>
        <v>0.19266199199999676</v>
      </c>
      <c r="X126" s="91">
        <f t="shared" si="28"/>
        <v>0.21025866859576581</v>
      </c>
      <c r="Y126" s="91">
        <f t="shared" si="29"/>
        <v>0.21446384196768112</v>
      </c>
      <c r="Z126" s="91">
        <f t="shared" si="29"/>
        <v>0.21875311880703471</v>
      </c>
      <c r="AA126" s="91">
        <f t="shared" si="29"/>
        <v>0.2231281811831754</v>
      </c>
      <c r="AB126" s="91">
        <f t="shared" si="29"/>
        <v>0.22759074480683894</v>
      </c>
      <c r="AC126" s="91">
        <f t="shared" si="29"/>
        <v>0.23214255970297568</v>
      </c>
      <c r="AD126" s="91">
        <f t="shared" si="29"/>
        <v>0.23678541089703523</v>
      </c>
      <c r="AE126" s="91">
        <f t="shared" si="29"/>
        <v>0.2415211191149759</v>
      </c>
      <c r="AF126" s="91">
        <f t="shared" si="29"/>
        <v>0.24635154149727542</v>
      </c>
      <c r="AG126" s="91">
        <f t="shared" si="29"/>
        <v>0.25127857232722095</v>
      </c>
      <c r="AH126" s="91">
        <f t="shared" si="29"/>
        <v>0.25630414377376537</v>
      </c>
    </row>
    <row r="127" spans="2:34" ht="15" customHeight="1">
      <c r="B127" s="67" t="s">
        <v>63</v>
      </c>
      <c r="C127" s="91">
        <f t="shared" ca="1" si="26"/>
        <v>0.12900535130388813</v>
      </c>
      <c r="E127" s="91">
        <f t="shared" si="27"/>
        <v>3.9108593423967816E-2</v>
      </c>
      <c r="F127" s="91">
        <f t="shared" si="27"/>
        <v>8.3202060200776584E-2</v>
      </c>
      <c r="G127" s="91">
        <f t="shared" si="27"/>
        <v>0.12733641848129912</v>
      </c>
      <c r="H127" s="91">
        <f t="shared" si="27"/>
        <v>0.13886350756579513</v>
      </c>
      <c r="I127" s="91">
        <f t="shared" si="27"/>
        <v>0.15045068159246999</v>
      </c>
      <c r="J127" s="91">
        <f t="shared" si="27"/>
        <v>0.16209370486997757</v>
      </c>
      <c r="K127" s="91">
        <f t="shared" si="27"/>
        <v>0.15324469285547032</v>
      </c>
      <c r="L127" s="91">
        <f t="shared" si="27"/>
        <v>0.14445492844274987</v>
      </c>
      <c r="M127" s="91">
        <f t="shared" si="27"/>
        <v>0.1357308488465043</v>
      </c>
      <c r="N127" s="91">
        <f t="shared" si="27"/>
        <v>0.12707940744147944</v>
      </c>
      <c r="O127" s="91">
        <f t="shared" si="28"/>
        <v>0.11850949167135778</v>
      </c>
      <c r="P127" s="91">
        <f t="shared" si="28"/>
        <v>0.12275583673835951</v>
      </c>
      <c r="Q127" s="91">
        <f t="shared" si="28"/>
        <v>0.12709476940624337</v>
      </c>
      <c r="R127" s="91">
        <f t="shared" si="28"/>
        <v>0.13153156775360628</v>
      </c>
      <c r="S127" s="91">
        <f t="shared" si="28"/>
        <v>0.13607799253417016</v>
      </c>
      <c r="T127" s="91">
        <f t="shared" si="28"/>
        <v>0.14075469528879359</v>
      </c>
      <c r="U127" s="91">
        <f t="shared" si="28"/>
        <v>0.15792181796839871</v>
      </c>
      <c r="V127" s="91">
        <f t="shared" si="28"/>
        <v>0.17522274691152911</v>
      </c>
      <c r="W127" s="91">
        <f t="shared" si="28"/>
        <v>0.19266199199999676</v>
      </c>
      <c r="X127" s="91">
        <f t="shared" si="28"/>
        <v>0.21025866859576581</v>
      </c>
      <c r="Y127" s="91">
        <f t="shared" si="29"/>
        <v>0.21446384196768112</v>
      </c>
      <c r="Z127" s="91">
        <f t="shared" si="29"/>
        <v>0.21875311880703471</v>
      </c>
      <c r="AA127" s="91">
        <f t="shared" si="29"/>
        <v>0.2231281811831754</v>
      </c>
      <c r="AB127" s="91">
        <f t="shared" si="29"/>
        <v>0.22759074480683894</v>
      </c>
      <c r="AC127" s="91">
        <f t="shared" si="29"/>
        <v>0.23214255970297568</v>
      </c>
      <c r="AD127" s="91">
        <f t="shared" si="29"/>
        <v>0.23678541089703523</v>
      </c>
      <c r="AE127" s="91">
        <f t="shared" si="29"/>
        <v>0.2415211191149759</v>
      </c>
      <c r="AF127" s="91">
        <f t="shared" si="29"/>
        <v>0.24635154149727542</v>
      </c>
      <c r="AG127" s="91">
        <f t="shared" si="29"/>
        <v>0.25127857232722095</v>
      </c>
      <c r="AH127" s="91">
        <f t="shared" si="29"/>
        <v>0.25630414377376537</v>
      </c>
    </row>
    <row r="128" spans="2:34" ht="15" customHeight="1">
      <c r="B128" s="67" t="s">
        <v>64</v>
      </c>
      <c r="C128" s="91">
        <f t="shared" ca="1" si="26"/>
        <v>0.12900535130388813</v>
      </c>
      <c r="E128" s="91">
        <f t="shared" si="27"/>
        <v>3.9108593423967816E-2</v>
      </c>
      <c r="F128" s="91">
        <f t="shared" si="27"/>
        <v>8.3202060200776584E-2</v>
      </c>
      <c r="G128" s="91">
        <f t="shared" si="27"/>
        <v>0.12733641848129912</v>
      </c>
      <c r="H128" s="91">
        <f t="shared" si="27"/>
        <v>0.13886350756579513</v>
      </c>
      <c r="I128" s="91">
        <f t="shared" si="27"/>
        <v>0.15045068159246999</v>
      </c>
      <c r="J128" s="91">
        <f t="shared" si="27"/>
        <v>0.16209370486997757</v>
      </c>
      <c r="K128" s="91">
        <f t="shared" si="27"/>
        <v>0.15324469285547032</v>
      </c>
      <c r="L128" s="91">
        <f t="shared" si="27"/>
        <v>0.14445492844274987</v>
      </c>
      <c r="M128" s="91">
        <f t="shared" si="27"/>
        <v>0.1357308488465043</v>
      </c>
      <c r="N128" s="91">
        <f t="shared" si="27"/>
        <v>0.12707940744147944</v>
      </c>
      <c r="O128" s="91">
        <f t="shared" si="28"/>
        <v>0.11850949167135778</v>
      </c>
      <c r="P128" s="91">
        <f t="shared" si="28"/>
        <v>0.12275583673835951</v>
      </c>
      <c r="Q128" s="91">
        <f t="shared" si="28"/>
        <v>0.12709476940624337</v>
      </c>
      <c r="R128" s="91">
        <f t="shared" si="28"/>
        <v>0.13153156775360628</v>
      </c>
      <c r="S128" s="91">
        <f t="shared" si="28"/>
        <v>0.13607799253417016</v>
      </c>
      <c r="T128" s="91">
        <f t="shared" si="28"/>
        <v>0.14075469528879359</v>
      </c>
      <c r="U128" s="91">
        <f t="shared" si="28"/>
        <v>0.15792181796839871</v>
      </c>
      <c r="V128" s="91">
        <f t="shared" si="28"/>
        <v>0.17522274691152911</v>
      </c>
      <c r="W128" s="91">
        <f t="shared" si="28"/>
        <v>0.19266199199999676</v>
      </c>
      <c r="X128" s="91">
        <f t="shared" si="28"/>
        <v>0.21025866859576581</v>
      </c>
      <c r="Y128" s="91">
        <f t="shared" si="29"/>
        <v>0.21446384196768112</v>
      </c>
      <c r="Z128" s="91">
        <f t="shared" si="29"/>
        <v>0.21875311880703471</v>
      </c>
      <c r="AA128" s="91">
        <f t="shared" si="29"/>
        <v>0.2231281811831754</v>
      </c>
      <c r="AB128" s="91">
        <f t="shared" si="29"/>
        <v>0.22759074480683894</v>
      </c>
      <c r="AC128" s="91">
        <f t="shared" si="29"/>
        <v>0.23214255970297568</v>
      </c>
      <c r="AD128" s="91">
        <f t="shared" si="29"/>
        <v>0.23678541089703523</v>
      </c>
      <c r="AE128" s="91">
        <f t="shared" si="29"/>
        <v>0.2415211191149759</v>
      </c>
      <c r="AF128" s="91">
        <f t="shared" si="29"/>
        <v>0.24635154149727542</v>
      </c>
      <c r="AG128" s="91">
        <f t="shared" si="29"/>
        <v>0.25127857232722095</v>
      </c>
      <c r="AH128" s="91">
        <f t="shared" si="29"/>
        <v>0.25630414377376537</v>
      </c>
    </row>
    <row r="129" spans="2:34" ht="15" customHeight="1">
      <c r="B129" s="67" t="s">
        <v>65</v>
      </c>
      <c r="C129" s="91">
        <f t="shared" ca="1" si="26"/>
        <v>0.12900535130388813</v>
      </c>
      <c r="E129" s="91">
        <f t="shared" si="27"/>
        <v>3.9108593423967816E-2</v>
      </c>
      <c r="F129" s="91">
        <f t="shared" si="27"/>
        <v>8.3202060200776584E-2</v>
      </c>
      <c r="G129" s="91">
        <f t="shared" si="27"/>
        <v>0.12733641848129912</v>
      </c>
      <c r="H129" s="91">
        <f t="shared" si="27"/>
        <v>0.13886350756579513</v>
      </c>
      <c r="I129" s="91">
        <f t="shared" si="27"/>
        <v>0.15045068159246999</v>
      </c>
      <c r="J129" s="91">
        <f t="shared" si="27"/>
        <v>0.16209370486997757</v>
      </c>
      <c r="K129" s="91">
        <f t="shared" si="27"/>
        <v>0.15324469285547032</v>
      </c>
      <c r="L129" s="91">
        <f t="shared" si="27"/>
        <v>0.14445492844274987</v>
      </c>
      <c r="M129" s="91">
        <f t="shared" si="27"/>
        <v>0.1357308488465043</v>
      </c>
      <c r="N129" s="91">
        <f t="shared" si="27"/>
        <v>0.12707940744147944</v>
      </c>
      <c r="O129" s="91">
        <f t="shared" si="28"/>
        <v>0.11850949167135778</v>
      </c>
      <c r="P129" s="91">
        <f t="shared" si="28"/>
        <v>0.12275583673835951</v>
      </c>
      <c r="Q129" s="91">
        <f t="shared" si="28"/>
        <v>0.12709476940624337</v>
      </c>
      <c r="R129" s="91">
        <f t="shared" si="28"/>
        <v>0.13153156775360628</v>
      </c>
      <c r="S129" s="91">
        <f t="shared" si="28"/>
        <v>0.13607799253417016</v>
      </c>
      <c r="T129" s="91">
        <f t="shared" si="28"/>
        <v>0.14075469528879359</v>
      </c>
      <c r="U129" s="91">
        <f t="shared" si="28"/>
        <v>0.15792181796839871</v>
      </c>
      <c r="V129" s="91">
        <f t="shared" si="28"/>
        <v>0.17522274691152911</v>
      </c>
      <c r="W129" s="91">
        <f t="shared" si="28"/>
        <v>0.19266199199999676</v>
      </c>
      <c r="X129" s="91">
        <f t="shared" si="28"/>
        <v>0.21025866859576581</v>
      </c>
      <c r="Y129" s="91">
        <f t="shared" si="29"/>
        <v>0.21446384196768112</v>
      </c>
      <c r="Z129" s="91">
        <f t="shared" si="29"/>
        <v>0.21875311880703471</v>
      </c>
      <c r="AA129" s="91">
        <f t="shared" si="29"/>
        <v>0.2231281811831754</v>
      </c>
      <c r="AB129" s="91">
        <f t="shared" si="29"/>
        <v>0.22759074480683894</v>
      </c>
      <c r="AC129" s="91">
        <f t="shared" si="29"/>
        <v>0.23214255970297568</v>
      </c>
      <c r="AD129" s="91">
        <f t="shared" si="29"/>
        <v>0.23678541089703523</v>
      </c>
      <c r="AE129" s="91">
        <f t="shared" si="29"/>
        <v>0.2415211191149759</v>
      </c>
      <c r="AF129" s="91">
        <f t="shared" si="29"/>
        <v>0.24635154149727542</v>
      </c>
      <c r="AG129" s="91">
        <f t="shared" si="29"/>
        <v>0.25127857232722095</v>
      </c>
      <c r="AH129" s="91">
        <f t="shared" si="29"/>
        <v>0.25630414377376537</v>
      </c>
    </row>
    <row r="130" spans="2:34" ht="15" customHeight="1">
      <c r="B130" s="68" t="s">
        <v>66</v>
      </c>
      <c r="C130" s="91">
        <f t="shared" ca="1" si="26"/>
        <v>0.12900535130388813</v>
      </c>
      <c r="E130" s="91">
        <f t="shared" si="27"/>
        <v>3.9108593423967816E-2</v>
      </c>
      <c r="F130" s="91">
        <f t="shared" si="27"/>
        <v>8.3202060200776584E-2</v>
      </c>
      <c r="G130" s="91">
        <f t="shared" si="27"/>
        <v>0.12733641848129912</v>
      </c>
      <c r="H130" s="91">
        <f t="shared" si="27"/>
        <v>0.13886350756579513</v>
      </c>
      <c r="I130" s="91">
        <f t="shared" si="27"/>
        <v>0.15045068159246999</v>
      </c>
      <c r="J130" s="91">
        <f t="shared" si="27"/>
        <v>0.16209370486997757</v>
      </c>
      <c r="K130" s="91">
        <f t="shared" si="27"/>
        <v>0.15324469285547032</v>
      </c>
      <c r="L130" s="91">
        <f t="shared" si="27"/>
        <v>0.14445492844274987</v>
      </c>
      <c r="M130" s="91">
        <f t="shared" si="27"/>
        <v>0.1357308488465043</v>
      </c>
      <c r="N130" s="91">
        <f t="shared" si="27"/>
        <v>0.12707940744147944</v>
      </c>
      <c r="O130" s="91">
        <f t="shared" si="28"/>
        <v>0.11850949167135778</v>
      </c>
      <c r="P130" s="91">
        <f t="shared" si="28"/>
        <v>0.12275583673835951</v>
      </c>
      <c r="Q130" s="91">
        <f t="shared" si="28"/>
        <v>0.12709476940624337</v>
      </c>
      <c r="R130" s="91">
        <f t="shared" si="28"/>
        <v>0.13153156775360628</v>
      </c>
      <c r="S130" s="91">
        <f t="shared" si="28"/>
        <v>0.13607799253417016</v>
      </c>
      <c r="T130" s="91">
        <f t="shared" si="28"/>
        <v>0.14075469528879359</v>
      </c>
      <c r="U130" s="91">
        <f t="shared" si="28"/>
        <v>0.15792181796839871</v>
      </c>
      <c r="V130" s="91">
        <f t="shared" si="28"/>
        <v>0.17522274691152911</v>
      </c>
      <c r="W130" s="91">
        <f t="shared" si="28"/>
        <v>0.19266199199999676</v>
      </c>
      <c r="X130" s="91">
        <f t="shared" si="28"/>
        <v>0.21025866859576581</v>
      </c>
      <c r="Y130" s="91">
        <f t="shared" si="29"/>
        <v>0.21446384196768112</v>
      </c>
      <c r="Z130" s="91">
        <f t="shared" si="29"/>
        <v>0.21875311880703471</v>
      </c>
      <c r="AA130" s="91">
        <f t="shared" si="29"/>
        <v>0.2231281811831754</v>
      </c>
      <c r="AB130" s="91">
        <f t="shared" si="29"/>
        <v>0.22759074480683894</v>
      </c>
      <c r="AC130" s="91">
        <f t="shared" si="29"/>
        <v>0.23214255970297568</v>
      </c>
      <c r="AD130" s="91">
        <f t="shared" si="29"/>
        <v>0.23678541089703523</v>
      </c>
      <c r="AE130" s="91">
        <f t="shared" si="29"/>
        <v>0.2415211191149759</v>
      </c>
      <c r="AF130" s="91">
        <f t="shared" si="29"/>
        <v>0.24635154149727542</v>
      </c>
      <c r="AG130" s="91">
        <f t="shared" si="29"/>
        <v>0.25127857232722095</v>
      </c>
      <c r="AH130" s="91">
        <f t="shared" si="29"/>
        <v>0.25630414377376537</v>
      </c>
    </row>
    <row r="131" spans="2:34">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row>
    <row r="132" spans="2:34" ht="15" customHeight="1">
      <c r="B132" s="234" t="s">
        <v>43</v>
      </c>
      <c r="C132" s="234" t="s">
        <v>74</v>
      </c>
      <c r="D132" s="234"/>
      <c r="E132" s="234">
        <f t="shared" ref="E132:AH132" si="30">E$46</f>
        <v>2026</v>
      </c>
      <c r="F132" s="234">
        <f t="shared" si="30"/>
        <v>2027</v>
      </c>
      <c r="G132" s="234">
        <f t="shared" si="30"/>
        <v>2028</v>
      </c>
      <c r="H132" s="234">
        <f t="shared" si="30"/>
        <v>2029</v>
      </c>
      <c r="I132" s="234">
        <f t="shared" si="30"/>
        <v>2030</v>
      </c>
      <c r="J132" s="234">
        <f t="shared" si="30"/>
        <v>2031</v>
      </c>
      <c r="K132" s="234">
        <f t="shared" si="30"/>
        <v>2032</v>
      </c>
      <c r="L132" s="234">
        <f t="shared" si="30"/>
        <v>2033</v>
      </c>
      <c r="M132" s="234">
        <f t="shared" si="30"/>
        <v>2034</v>
      </c>
      <c r="N132" s="234">
        <f t="shared" si="30"/>
        <v>2035</v>
      </c>
      <c r="O132" s="234">
        <f t="shared" si="30"/>
        <v>2036</v>
      </c>
      <c r="P132" s="234">
        <f t="shared" si="30"/>
        <v>2037</v>
      </c>
      <c r="Q132" s="234">
        <f t="shared" si="30"/>
        <v>2038</v>
      </c>
      <c r="R132" s="234">
        <f t="shared" si="30"/>
        <v>2039</v>
      </c>
      <c r="S132" s="234">
        <f t="shared" si="30"/>
        <v>2040</v>
      </c>
      <c r="T132" s="234">
        <f t="shared" si="30"/>
        <v>2041</v>
      </c>
      <c r="U132" s="234">
        <f t="shared" si="30"/>
        <v>2042</v>
      </c>
      <c r="V132" s="234">
        <f t="shared" si="30"/>
        <v>2043</v>
      </c>
      <c r="W132" s="234">
        <f t="shared" si="30"/>
        <v>2044</v>
      </c>
      <c r="X132" s="234">
        <f t="shared" si="30"/>
        <v>2045</v>
      </c>
      <c r="Y132" s="234">
        <f t="shared" si="30"/>
        <v>2046</v>
      </c>
      <c r="Z132" s="234">
        <f t="shared" si="30"/>
        <v>2047</v>
      </c>
      <c r="AA132" s="234">
        <f t="shared" si="30"/>
        <v>2048</v>
      </c>
      <c r="AB132" s="234">
        <f t="shared" si="30"/>
        <v>2049</v>
      </c>
      <c r="AC132" s="234">
        <f t="shared" si="30"/>
        <v>2050</v>
      </c>
      <c r="AD132" s="234">
        <f t="shared" si="30"/>
        <v>2051</v>
      </c>
      <c r="AE132" s="234">
        <f t="shared" si="30"/>
        <v>2052</v>
      </c>
      <c r="AF132" s="234">
        <f t="shared" si="30"/>
        <v>2053</v>
      </c>
      <c r="AG132" s="234">
        <f t="shared" si="30"/>
        <v>2054</v>
      </c>
      <c r="AH132" s="234">
        <f t="shared" si="30"/>
        <v>2055</v>
      </c>
    </row>
    <row r="133" spans="2:34" ht="15" customHeight="1">
      <c r="B133" s="67" t="s">
        <v>52</v>
      </c>
      <c r="C133" s="91">
        <f t="shared" ref="C133:C144" ca="1" si="31">-PMT($C$17,$C$15,NPV($C$17,OFFSET(E133,0,$C$72,1,$C$15)))</f>
        <v>8.7698077538549774E-2</v>
      </c>
      <c r="E133" s="91">
        <f t="shared" ref="E133:N144" si="32">E$52*$C$26</f>
        <v>2.6586094482542431E-2</v>
      </c>
      <c r="F133" s="91">
        <f t="shared" si="32"/>
        <v>5.6560915133408704E-2</v>
      </c>
      <c r="G133" s="91">
        <f t="shared" si="32"/>
        <v>8.6563533904485582E-2</v>
      </c>
      <c r="H133" s="91">
        <f t="shared" si="32"/>
        <v>9.4399670484158107E-2</v>
      </c>
      <c r="I133" s="91">
        <f t="shared" si="32"/>
        <v>0.10227665291917572</v>
      </c>
      <c r="J133" s="91">
        <f t="shared" si="32"/>
        <v>0.1101916017786904</v>
      </c>
      <c r="K133" s="91">
        <f t="shared" si="32"/>
        <v>0.10417602696769086</v>
      </c>
      <c r="L133" s="91">
        <f t="shared" si="32"/>
        <v>9.8200728786481908E-2</v>
      </c>
      <c r="M133" s="91">
        <f t="shared" si="32"/>
        <v>9.2270083265570374E-2</v>
      </c>
      <c r="N133" s="91">
        <f t="shared" si="32"/>
        <v>8.6388817322029451E-2</v>
      </c>
      <c r="O133" s="91">
        <f t="shared" ref="O133:X144" si="33">O$52*$C$26</f>
        <v>8.0562972656589446E-2</v>
      </c>
      <c r="P133" s="91">
        <f t="shared" si="33"/>
        <v>8.3449645923841201E-2</v>
      </c>
      <c r="Q133" s="91">
        <f t="shared" si="33"/>
        <v>8.6399260414222107E-2</v>
      </c>
      <c r="R133" s="91">
        <f t="shared" si="33"/>
        <v>8.9415404175370194E-2</v>
      </c>
      <c r="S133" s="91">
        <f t="shared" si="33"/>
        <v>9.2506072189519922E-2</v>
      </c>
      <c r="T133" s="91">
        <f t="shared" si="33"/>
        <v>9.5685303412522335E-2</v>
      </c>
      <c r="U133" s="91">
        <f t="shared" si="33"/>
        <v>0.10735554531065382</v>
      </c>
      <c r="V133" s="91">
        <f t="shared" si="33"/>
        <v>0.11911674895537318</v>
      </c>
      <c r="W133" s="91">
        <f t="shared" si="33"/>
        <v>0.13097198017271661</v>
      </c>
      <c r="X133" s="91">
        <f t="shared" si="33"/>
        <v>0.14293423362126811</v>
      </c>
      <c r="Y133" s="91">
        <f t="shared" ref="Y133:AH144" si="34">Y$52*$C$26</f>
        <v>0.14579291829369351</v>
      </c>
      <c r="Z133" s="91">
        <f t="shared" si="34"/>
        <v>0.14870877665956736</v>
      </c>
      <c r="AA133" s="91">
        <f t="shared" si="34"/>
        <v>0.15168295219275868</v>
      </c>
      <c r="AB133" s="91">
        <f t="shared" si="34"/>
        <v>0.15471661123661387</v>
      </c>
      <c r="AC133" s="91">
        <f t="shared" si="34"/>
        <v>0.15781094346134614</v>
      </c>
      <c r="AD133" s="91">
        <f t="shared" si="34"/>
        <v>0.16096716233057307</v>
      </c>
      <c r="AE133" s="91">
        <f t="shared" si="34"/>
        <v>0.16418650557718451</v>
      </c>
      <c r="AF133" s="91">
        <f t="shared" si="34"/>
        <v>0.16747023568872821</v>
      </c>
      <c r="AG133" s="91">
        <f t="shared" si="34"/>
        <v>0.17081964040250278</v>
      </c>
      <c r="AH133" s="91">
        <f t="shared" si="34"/>
        <v>0.17423603321055284</v>
      </c>
    </row>
    <row r="134" spans="2:34" ht="15" customHeight="1">
      <c r="B134" s="67" t="s">
        <v>54</v>
      </c>
      <c r="C134" s="91">
        <f t="shared" ca="1" si="31"/>
        <v>8.7698077538549774E-2</v>
      </c>
      <c r="E134" s="91">
        <f t="shared" si="32"/>
        <v>2.6586094482542431E-2</v>
      </c>
      <c r="F134" s="91">
        <f t="shared" si="32"/>
        <v>5.6560915133408704E-2</v>
      </c>
      <c r="G134" s="91">
        <f t="shared" si="32"/>
        <v>8.6563533904485582E-2</v>
      </c>
      <c r="H134" s="91">
        <f t="shared" si="32"/>
        <v>9.4399670484158107E-2</v>
      </c>
      <c r="I134" s="91">
        <f t="shared" si="32"/>
        <v>0.10227665291917572</v>
      </c>
      <c r="J134" s="91">
        <f t="shared" si="32"/>
        <v>0.1101916017786904</v>
      </c>
      <c r="K134" s="91">
        <f t="shared" si="32"/>
        <v>0.10417602696769086</v>
      </c>
      <c r="L134" s="91">
        <f t="shared" si="32"/>
        <v>9.8200728786481908E-2</v>
      </c>
      <c r="M134" s="91">
        <f t="shared" si="32"/>
        <v>9.2270083265570374E-2</v>
      </c>
      <c r="N134" s="91">
        <f t="shared" si="32"/>
        <v>8.6388817322029451E-2</v>
      </c>
      <c r="O134" s="91">
        <f t="shared" si="33"/>
        <v>8.0562972656589446E-2</v>
      </c>
      <c r="P134" s="91">
        <f t="shared" si="33"/>
        <v>8.3449645923841201E-2</v>
      </c>
      <c r="Q134" s="91">
        <f t="shared" si="33"/>
        <v>8.6399260414222107E-2</v>
      </c>
      <c r="R134" s="91">
        <f t="shared" si="33"/>
        <v>8.9415404175370194E-2</v>
      </c>
      <c r="S134" s="91">
        <f t="shared" si="33"/>
        <v>9.2506072189519922E-2</v>
      </c>
      <c r="T134" s="91">
        <f t="shared" si="33"/>
        <v>9.5685303412522335E-2</v>
      </c>
      <c r="U134" s="91">
        <f t="shared" si="33"/>
        <v>0.10735554531065382</v>
      </c>
      <c r="V134" s="91">
        <f t="shared" si="33"/>
        <v>0.11911674895537318</v>
      </c>
      <c r="W134" s="91">
        <f t="shared" si="33"/>
        <v>0.13097198017271661</v>
      </c>
      <c r="X134" s="91">
        <f t="shared" si="33"/>
        <v>0.14293423362126811</v>
      </c>
      <c r="Y134" s="91">
        <f t="shared" si="34"/>
        <v>0.14579291829369351</v>
      </c>
      <c r="Z134" s="91">
        <f t="shared" si="34"/>
        <v>0.14870877665956736</v>
      </c>
      <c r="AA134" s="91">
        <f t="shared" si="34"/>
        <v>0.15168295219275868</v>
      </c>
      <c r="AB134" s="91">
        <f t="shared" si="34"/>
        <v>0.15471661123661387</v>
      </c>
      <c r="AC134" s="91">
        <f t="shared" si="34"/>
        <v>0.15781094346134614</v>
      </c>
      <c r="AD134" s="91">
        <f t="shared" si="34"/>
        <v>0.16096716233057307</v>
      </c>
      <c r="AE134" s="91">
        <f t="shared" si="34"/>
        <v>0.16418650557718451</v>
      </c>
      <c r="AF134" s="91">
        <f t="shared" si="34"/>
        <v>0.16747023568872821</v>
      </c>
      <c r="AG134" s="91">
        <f t="shared" si="34"/>
        <v>0.17081964040250278</v>
      </c>
      <c r="AH134" s="91">
        <f t="shared" si="34"/>
        <v>0.17423603321055284</v>
      </c>
    </row>
    <row r="135" spans="2:34" ht="15" customHeight="1">
      <c r="B135" s="67" t="s">
        <v>56</v>
      </c>
      <c r="C135" s="91">
        <f t="shared" ca="1" si="31"/>
        <v>8.7698077538549774E-2</v>
      </c>
      <c r="E135" s="91">
        <f t="shared" si="32"/>
        <v>2.6586094482542431E-2</v>
      </c>
      <c r="F135" s="91">
        <f t="shared" si="32"/>
        <v>5.6560915133408704E-2</v>
      </c>
      <c r="G135" s="91">
        <f t="shared" si="32"/>
        <v>8.6563533904485582E-2</v>
      </c>
      <c r="H135" s="91">
        <f t="shared" si="32"/>
        <v>9.4399670484158107E-2</v>
      </c>
      <c r="I135" s="91">
        <f t="shared" si="32"/>
        <v>0.10227665291917572</v>
      </c>
      <c r="J135" s="91">
        <f t="shared" si="32"/>
        <v>0.1101916017786904</v>
      </c>
      <c r="K135" s="91">
        <f t="shared" si="32"/>
        <v>0.10417602696769086</v>
      </c>
      <c r="L135" s="91">
        <f t="shared" si="32"/>
        <v>9.8200728786481908E-2</v>
      </c>
      <c r="M135" s="91">
        <f t="shared" si="32"/>
        <v>9.2270083265570374E-2</v>
      </c>
      <c r="N135" s="91">
        <f t="shared" si="32"/>
        <v>8.6388817322029451E-2</v>
      </c>
      <c r="O135" s="91">
        <f t="shared" si="33"/>
        <v>8.0562972656589446E-2</v>
      </c>
      <c r="P135" s="91">
        <f t="shared" si="33"/>
        <v>8.3449645923841201E-2</v>
      </c>
      <c r="Q135" s="91">
        <f t="shared" si="33"/>
        <v>8.6399260414222107E-2</v>
      </c>
      <c r="R135" s="91">
        <f t="shared" si="33"/>
        <v>8.9415404175370194E-2</v>
      </c>
      <c r="S135" s="91">
        <f t="shared" si="33"/>
        <v>9.2506072189519922E-2</v>
      </c>
      <c r="T135" s="91">
        <f t="shared" si="33"/>
        <v>9.5685303412522335E-2</v>
      </c>
      <c r="U135" s="91">
        <f t="shared" si="33"/>
        <v>0.10735554531065382</v>
      </c>
      <c r="V135" s="91">
        <f t="shared" si="33"/>
        <v>0.11911674895537318</v>
      </c>
      <c r="W135" s="91">
        <f t="shared" si="33"/>
        <v>0.13097198017271661</v>
      </c>
      <c r="X135" s="91">
        <f t="shared" si="33"/>
        <v>0.14293423362126811</v>
      </c>
      <c r="Y135" s="91">
        <f t="shared" si="34"/>
        <v>0.14579291829369351</v>
      </c>
      <c r="Z135" s="91">
        <f t="shared" si="34"/>
        <v>0.14870877665956736</v>
      </c>
      <c r="AA135" s="91">
        <f t="shared" si="34"/>
        <v>0.15168295219275868</v>
      </c>
      <c r="AB135" s="91">
        <f t="shared" si="34"/>
        <v>0.15471661123661387</v>
      </c>
      <c r="AC135" s="91">
        <f t="shared" si="34"/>
        <v>0.15781094346134614</v>
      </c>
      <c r="AD135" s="91">
        <f t="shared" si="34"/>
        <v>0.16096716233057307</v>
      </c>
      <c r="AE135" s="91">
        <f t="shared" si="34"/>
        <v>0.16418650557718451</v>
      </c>
      <c r="AF135" s="91">
        <f t="shared" si="34"/>
        <v>0.16747023568872821</v>
      </c>
      <c r="AG135" s="91">
        <f t="shared" si="34"/>
        <v>0.17081964040250278</v>
      </c>
      <c r="AH135" s="91">
        <f t="shared" si="34"/>
        <v>0.17423603321055284</v>
      </c>
    </row>
    <row r="136" spans="2:34" ht="15" customHeight="1">
      <c r="B136" s="67" t="s">
        <v>58</v>
      </c>
      <c r="C136" s="91">
        <f t="shared" ca="1" si="31"/>
        <v>8.7698077538549774E-2</v>
      </c>
      <c r="E136" s="91">
        <f t="shared" si="32"/>
        <v>2.6586094482542431E-2</v>
      </c>
      <c r="F136" s="91">
        <f t="shared" si="32"/>
        <v>5.6560915133408704E-2</v>
      </c>
      <c r="G136" s="91">
        <f t="shared" si="32"/>
        <v>8.6563533904485582E-2</v>
      </c>
      <c r="H136" s="91">
        <f t="shared" si="32"/>
        <v>9.4399670484158107E-2</v>
      </c>
      <c r="I136" s="91">
        <f t="shared" si="32"/>
        <v>0.10227665291917572</v>
      </c>
      <c r="J136" s="91">
        <f t="shared" si="32"/>
        <v>0.1101916017786904</v>
      </c>
      <c r="K136" s="91">
        <f t="shared" si="32"/>
        <v>0.10417602696769086</v>
      </c>
      <c r="L136" s="91">
        <f t="shared" si="32"/>
        <v>9.8200728786481908E-2</v>
      </c>
      <c r="M136" s="91">
        <f t="shared" si="32"/>
        <v>9.2270083265570374E-2</v>
      </c>
      <c r="N136" s="91">
        <f t="shared" si="32"/>
        <v>8.6388817322029451E-2</v>
      </c>
      <c r="O136" s="91">
        <f t="shared" si="33"/>
        <v>8.0562972656589446E-2</v>
      </c>
      <c r="P136" s="91">
        <f t="shared" si="33"/>
        <v>8.3449645923841201E-2</v>
      </c>
      <c r="Q136" s="91">
        <f t="shared" si="33"/>
        <v>8.6399260414222107E-2</v>
      </c>
      <c r="R136" s="91">
        <f t="shared" si="33"/>
        <v>8.9415404175370194E-2</v>
      </c>
      <c r="S136" s="91">
        <f t="shared" si="33"/>
        <v>9.2506072189519922E-2</v>
      </c>
      <c r="T136" s="91">
        <f t="shared" si="33"/>
        <v>9.5685303412522335E-2</v>
      </c>
      <c r="U136" s="91">
        <f t="shared" si="33"/>
        <v>0.10735554531065382</v>
      </c>
      <c r="V136" s="91">
        <f t="shared" si="33"/>
        <v>0.11911674895537318</v>
      </c>
      <c r="W136" s="91">
        <f t="shared" si="33"/>
        <v>0.13097198017271661</v>
      </c>
      <c r="X136" s="91">
        <f t="shared" si="33"/>
        <v>0.14293423362126811</v>
      </c>
      <c r="Y136" s="91">
        <f t="shared" si="34"/>
        <v>0.14579291829369351</v>
      </c>
      <c r="Z136" s="91">
        <f t="shared" si="34"/>
        <v>0.14870877665956736</v>
      </c>
      <c r="AA136" s="91">
        <f t="shared" si="34"/>
        <v>0.15168295219275868</v>
      </c>
      <c r="AB136" s="91">
        <f t="shared" si="34"/>
        <v>0.15471661123661387</v>
      </c>
      <c r="AC136" s="91">
        <f t="shared" si="34"/>
        <v>0.15781094346134614</v>
      </c>
      <c r="AD136" s="91">
        <f t="shared" si="34"/>
        <v>0.16096716233057307</v>
      </c>
      <c r="AE136" s="91">
        <f t="shared" si="34"/>
        <v>0.16418650557718451</v>
      </c>
      <c r="AF136" s="91">
        <f t="shared" si="34"/>
        <v>0.16747023568872821</v>
      </c>
      <c r="AG136" s="91">
        <f t="shared" si="34"/>
        <v>0.17081964040250278</v>
      </c>
      <c r="AH136" s="91">
        <f t="shared" si="34"/>
        <v>0.17423603321055284</v>
      </c>
    </row>
    <row r="137" spans="2:34" ht="15" customHeight="1">
      <c r="B137" s="67" t="s">
        <v>59</v>
      </c>
      <c r="C137" s="91">
        <f t="shared" ca="1" si="31"/>
        <v>8.7698077538549774E-2</v>
      </c>
      <c r="E137" s="91">
        <f t="shared" si="32"/>
        <v>2.6586094482542431E-2</v>
      </c>
      <c r="F137" s="91">
        <f t="shared" si="32"/>
        <v>5.6560915133408704E-2</v>
      </c>
      <c r="G137" s="91">
        <f t="shared" si="32"/>
        <v>8.6563533904485582E-2</v>
      </c>
      <c r="H137" s="91">
        <f t="shared" si="32"/>
        <v>9.4399670484158107E-2</v>
      </c>
      <c r="I137" s="91">
        <f t="shared" si="32"/>
        <v>0.10227665291917572</v>
      </c>
      <c r="J137" s="91">
        <f t="shared" si="32"/>
        <v>0.1101916017786904</v>
      </c>
      <c r="K137" s="91">
        <f t="shared" si="32"/>
        <v>0.10417602696769086</v>
      </c>
      <c r="L137" s="91">
        <f t="shared" si="32"/>
        <v>9.8200728786481908E-2</v>
      </c>
      <c r="M137" s="91">
        <f t="shared" si="32"/>
        <v>9.2270083265570374E-2</v>
      </c>
      <c r="N137" s="91">
        <f t="shared" si="32"/>
        <v>8.6388817322029451E-2</v>
      </c>
      <c r="O137" s="91">
        <f t="shared" si="33"/>
        <v>8.0562972656589446E-2</v>
      </c>
      <c r="P137" s="91">
        <f t="shared" si="33"/>
        <v>8.3449645923841201E-2</v>
      </c>
      <c r="Q137" s="91">
        <f t="shared" si="33"/>
        <v>8.6399260414222107E-2</v>
      </c>
      <c r="R137" s="91">
        <f t="shared" si="33"/>
        <v>8.9415404175370194E-2</v>
      </c>
      <c r="S137" s="91">
        <f t="shared" si="33"/>
        <v>9.2506072189519922E-2</v>
      </c>
      <c r="T137" s="91">
        <f t="shared" si="33"/>
        <v>9.5685303412522335E-2</v>
      </c>
      <c r="U137" s="91">
        <f t="shared" si="33"/>
        <v>0.10735554531065382</v>
      </c>
      <c r="V137" s="91">
        <f t="shared" si="33"/>
        <v>0.11911674895537318</v>
      </c>
      <c r="W137" s="91">
        <f t="shared" si="33"/>
        <v>0.13097198017271661</v>
      </c>
      <c r="X137" s="91">
        <f t="shared" si="33"/>
        <v>0.14293423362126811</v>
      </c>
      <c r="Y137" s="91">
        <f t="shared" si="34"/>
        <v>0.14579291829369351</v>
      </c>
      <c r="Z137" s="91">
        <f t="shared" si="34"/>
        <v>0.14870877665956736</v>
      </c>
      <c r="AA137" s="91">
        <f t="shared" si="34"/>
        <v>0.15168295219275868</v>
      </c>
      <c r="AB137" s="91">
        <f t="shared" si="34"/>
        <v>0.15471661123661387</v>
      </c>
      <c r="AC137" s="91">
        <f t="shared" si="34"/>
        <v>0.15781094346134614</v>
      </c>
      <c r="AD137" s="91">
        <f t="shared" si="34"/>
        <v>0.16096716233057307</v>
      </c>
      <c r="AE137" s="91">
        <f t="shared" si="34"/>
        <v>0.16418650557718451</v>
      </c>
      <c r="AF137" s="91">
        <f t="shared" si="34"/>
        <v>0.16747023568872821</v>
      </c>
      <c r="AG137" s="91">
        <f t="shared" si="34"/>
        <v>0.17081964040250278</v>
      </c>
      <c r="AH137" s="91">
        <f t="shared" si="34"/>
        <v>0.17423603321055284</v>
      </c>
    </row>
    <row r="138" spans="2:34" ht="15" customHeight="1">
      <c r="B138" s="67" t="s">
        <v>60</v>
      </c>
      <c r="C138" s="91">
        <f t="shared" ca="1" si="31"/>
        <v>8.7698077538549774E-2</v>
      </c>
      <c r="E138" s="91">
        <f t="shared" si="32"/>
        <v>2.6586094482542431E-2</v>
      </c>
      <c r="F138" s="91">
        <f t="shared" si="32"/>
        <v>5.6560915133408704E-2</v>
      </c>
      <c r="G138" s="91">
        <f t="shared" si="32"/>
        <v>8.6563533904485582E-2</v>
      </c>
      <c r="H138" s="91">
        <f t="shared" si="32"/>
        <v>9.4399670484158107E-2</v>
      </c>
      <c r="I138" s="91">
        <f t="shared" si="32"/>
        <v>0.10227665291917572</v>
      </c>
      <c r="J138" s="91">
        <f t="shared" si="32"/>
        <v>0.1101916017786904</v>
      </c>
      <c r="K138" s="91">
        <f t="shared" si="32"/>
        <v>0.10417602696769086</v>
      </c>
      <c r="L138" s="91">
        <f t="shared" si="32"/>
        <v>9.8200728786481908E-2</v>
      </c>
      <c r="M138" s="91">
        <f t="shared" si="32"/>
        <v>9.2270083265570374E-2</v>
      </c>
      <c r="N138" s="91">
        <f t="shared" si="32"/>
        <v>8.6388817322029451E-2</v>
      </c>
      <c r="O138" s="91">
        <f t="shared" si="33"/>
        <v>8.0562972656589446E-2</v>
      </c>
      <c r="P138" s="91">
        <f t="shared" si="33"/>
        <v>8.3449645923841201E-2</v>
      </c>
      <c r="Q138" s="91">
        <f t="shared" si="33"/>
        <v>8.6399260414222107E-2</v>
      </c>
      <c r="R138" s="91">
        <f t="shared" si="33"/>
        <v>8.9415404175370194E-2</v>
      </c>
      <c r="S138" s="91">
        <f t="shared" si="33"/>
        <v>9.2506072189519922E-2</v>
      </c>
      <c r="T138" s="91">
        <f t="shared" si="33"/>
        <v>9.5685303412522335E-2</v>
      </c>
      <c r="U138" s="91">
        <f t="shared" si="33"/>
        <v>0.10735554531065382</v>
      </c>
      <c r="V138" s="91">
        <f t="shared" si="33"/>
        <v>0.11911674895537318</v>
      </c>
      <c r="W138" s="91">
        <f t="shared" si="33"/>
        <v>0.13097198017271661</v>
      </c>
      <c r="X138" s="91">
        <f t="shared" si="33"/>
        <v>0.14293423362126811</v>
      </c>
      <c r="Y138" s="91">
        <f t="shared" si="34"/>
        <v>0.14579291829369351</v>
      </c>
      <c r="Z138" s="91">
        <f t="shared" si="34"/>
        <v>0.14870877665956736</v>
      </c>
      <c r="AA138" s="91">
        <f t="shared" si="34"/>
        <v>0.15168295219275868</v>
      </c>
      <c r="AB138" s="91">
        <f t="shared" si="34"/>
        <v>0.15471661123661387</v>
      </c>
      <c r="AC138" s="91">
        <f t="shared" si="34"/>
        <v>0.15781094346134614</v>
      </c>
      <c r="AD138" s="91">
        <f t="shared" si="34"/>
        <v>0.16096716233057307</v>
      </c>
      <c r="AE138" s="91">
        <f t="shared" si="34"/>
        <v>0.16418650557718451</v>
      </c>
      <c r="AF138" s="91">
        <f t="shared" si="34"/>
        <v>0.16747023568872821</v>
      </c>
      <c r="AG138" s="91">
        <f t="shared" si="34"/>
        <v>0.17081964040250278</v>
      </c>
      <c r="AH138" s="91">
        <f t="shared" si="34"/>
        <v>0.17423603321055284</v>
      </c>
    </row>
    <row r="139" spans="2:34" ht="15" customHeight="1">
      <c r="B139" s="67" t="s">
        <v>61</v>
      </c>
      <c r="C139" s="91">
        <f t="shared" ca="1" si="31"/>
        <v>8.7698077538549774E-2</v>
      </c>
      <c r="E139" s="91">
        <f t="shared" si="32"/>
        <v>2.6586094482542431E-2</v>
      </c>
      <c r="F139" s="91">
        <f t="shared" si="32"/>
        <v>5.6560915133408704E-2</v>
      </c>
      <c r="G139" s="91">
        <f t="shared" si="32"/>
        <v>8.6563533904485582E-2</v>
      </c>
      <c r="H139" s="91">
        <f t="shared" si="32"/>
        <v>9.4399670484158107E-2</v>
      </c>
      <c r="I139" s="91">
        <f t="shared" si="32"/>
        <v>0.10227665291917572</v>
      </c>
      <c r="J139" s="91">
        <f t="shared" si="32"/>
        <v>0.1101916017786904</v>
      </c>
      <c r="K139" s="91">
        <f t="shared" si="32"/>
        <v>0.10417602696769086</v>
      </c>
      <c r="L139" s="91">
        <f t="shared" si="32"/>
        <v>9.8200728786481908E-2</v>
      </c>
      <c r="M139" s="91">
        <f t="shared" si="32"/>
        <v>9.2270083265570374E-2</v>
      </c>
      <c r="N139" s="91">
        <f t="shared" si="32"/>
        <v>8.6388817322029451E-2</v>
      </c>
      <c r="O139" s="91">
        <f t="shared" si="33"/>
        <v>8.0562972656589446E-2</v>
      </c>
      <c r="P139" s="91">
        <f t="shared" si="33"/>
        <v>8.3449645923841201E-2</v>
      </c>
      <c r="Q139" s="91">
        <f t="shared" si="33"/>
        <v>8.6399260414222107E-2</v>
      </c>
      <c r="R139" s="91">
        <f t="shared" si="33"/>
        <v>8.9415404175370194E-2</v>
      </c>
      <c r="S139" s="91">
        <f t="shared" si="33"/>
        <v>9.2506072189519922E-2</v>
      </c>
      <c r="T139" s="91">
        <f t="shared" si="33"/>
        <v>9.5685303412522335E-2</v>
      </c>
      <c r="U139" s="91">
        <f t="shared" si="33"/>
        <v>0.10735554531065382</v>
      </c>
      <c r="V139" s="91">
        <f t="shared" si="33"/>
        <v>0.11911674895537318</v>
      </c>
      <c r="W139" s="91">
        <f t="shared" si="33"/>
        <v>0.13097198017271661</v>
      </c>
      <c r="X139" s="91">
        <f t="shared" si="33"/>
        <v>0.14293423362126811</v>
      </c>
      <c r="Y139" s="91">
        <f t="shared" si="34"/>
        <v>0.14579291829369351</v>
      </c>
      <c r="Z139" s="91">
        <f t="shared" si="34"/>
        <v>0.14870877665956736</v>
      </c>
      <c r="AA139" s="91">
        <f t="shared" si="34"/>
        <v>0.15168295219275868</v>
      </c>
      <c r="AB139" s="91">
        <f t="shared" si="34"/>
        <v>0.15471661123661387</v>
      </c>
      <c r="AC139" s="91">
        <f t="shared" si="34"/>
        <v>0.15781094346134614</v>
      </c>
      <c r="AD139" s="91">
        <f t="shared" si="34"/>
        <v>0.16096716233057307</v>
      </c>
      <c r="AE139" s="91">
        <f t="shared" si="34"/>
        <v>0.16418650557718451</v>
      </c>
      <c r="AF139" s="91">
        <f t="shared" si="34"/>
        <v>0.16747023568872821</v>
      </c>
      <c r="AG139" s="91">
        <f t="shared" si="34"/>
        <v>0.17081964040250278</v>
      </c>
      <c r="AH139" s="91">
        <f t="shared" si="34"/>
        <v>0.17423603321055284</v>
      </c>
    </row>
    <row r="140" spans="2:34" ht="15" customHeight="1">
      <c r="B140" s="67" t="s">
        <v>62</v>
      </c>
      <c r="C140" s="91">
        <f t="shared" ca="1" si="31"/>
        <v>8.7698077538549774E-2</v>
      </c>
      <c r="E140" s="91">
        <f t="shared" si="32"/>
        <v>2.6586094482542431E-2</v>
      </c>
      <c r="F140" s="91">
        <f t="shared" si="32"/>
        <v>5.6560915133408704E-2</v>
      </c>
      <c r="G140" s="91">
        <f t="shared" si="32"/>
        <v>8.6563533904485582E-2</v>
      </c>
      <c r="H140" s="91">
        <f t="shared" si="32"/>
        <v>9.4399670484158107E-2</v>
      </c>
      <c r="I140" s="91">
        <f t="shared" si="32"/>
        <v>0.10227665291917572</v>
      </c>
      <c r="J140" s="91">
        <f t="shared" si="32"/>
        <v>0.1101916017786904</v>
      </c>
      <c r="K140" s="91">
        <f t="shared" si="32"/>
        <v>0.10417602696769086</v>
      </c>
      <c r="L140" s="91">
        <f t="shared" si="32"/>
        <v>9.8200728786481908E-2</v>
      </c>
      <c r="M140" s="91">
        <f t="shared" si="32"/>
        <v>9.2270083265570374E-2</v>
      </c>
      <c r="N140" s="91">
        <f t="shared" si="32"/>
        <v>8.6388817322029451E-2</v>
      </c>
      <c r="O140" s="91">
        <f t="shared" si="33"/>
        <v>8.0562972656589446E-2</v>
      </c>
      <c r="P140" s="91">
        <f t="shared" si="33"/>
        <v>8.3449645923841201E-2</v>
      </c>
      <c r="Q140" s="91">
        <f t="shared" si="33"/>
        <v>8.6399260414222107E-2</v>
      </c>
      <c r="R140" s="91">
        <f t="shared" si="33"/>
        <v>8.9415404175370194E-2</v>
      </c>
      <c r="S140" s="91">
        <f t="shared" si="33"/>
        <v>9.2506072189519922E-2</v>
      </c>
      <c r="T140" s="91">
        <f t="shared" si="33"/>
        <v>9.5685303412522335E-2</v>
      </c>
      <c r="U140" s="91">
        <f t="shared" si="33"/>
        <v>0.10735554531065382</v>
      </c>
      <c r="V140" s="91">
        <f t="shared" si="33"/>
        <v>0.11911674895537318</v>
      </c>
      <c r="W140" s="91">
        <f t="shared" si="33"/>
        <v>0.13097198017271661</v>
      </c>
      <c r="X140" s="91">
        <f t="shared" si="33"/>
        <v>0.14293423362126811</v>
      </c>
      <c r="Y140" s="91">
        <f t="shared" si="34"/>
        <v>0.14579291829369351</v>
      </c>
      <c r="Z140" s="91">
        <f t="shared" si="34"/>
        <v>0.14870877665956736</v>
      </c>
      <c r="AA140" s="91">
        <f t="shared" si="34"/>
        <v>0.15168295219275868</v>
      </c>
      <c r="AB140" s="91">
        <f t="shared" si="34"/>
        <v>0.15471661123661387</v>
      </c>
      <c r="AC140" s="91">
        <f t="shared" si="34"/>
        <v>0.15781094346134614</v>
      </c>
      <c r="AD140" s="91">
        <f t="shared" si="34"/>
        <v>0.16096716233057307</v>
      </c>
      <c r="AE140" s="91">
        <f t="shared" si="34"/>
        <v>0.16418650557718451</v>
      </c>
      <c r="AF140" s="91">
        <f t="shared" si="34"/>
        <v>0.16747023568872821</v>
      </c>
      <c r="AG140" s="91">
        <f t="shared" si="34"/>
        <v>0.17081964040250278</v>
      </c>
      <c r="AH140" s="91">
        <f t="shared" si="34"/>
        <v>0.17423603321055284</v>
      </c>
    </row>
    <row r="141" spans="2:34" ht="15" customHeight="1">
      <c r="B141" s="67" t="s">
        <v>63</v>
      </c>
      <c r="C141" s="91">
        <f t="shared" ca="1" si="31"/>
        <v>8.7698077538549774E-2</v>
      </c>
      <c r="E141" s="91">
        <f t="shared" si="32"/>
        <v>2.6586094482542431E-2</v>
      </c>
      <c r="F141" s="91">
        <f t="shared" si="32"/>
        <v>5.6560915133408704E-2</v>
      </c>
      <c r="G141" s="91">
        <f t="shared" si="32"/>
        <v>8.6563533904485582E-2</v>
      </c>
      <c r="H141" s="91">
        <f t="shared" si="32"/>
        <v>9.4399670484158107E-2</v>
      </c>
      <c r="I141" s="91">
        <f t="shared" si="32"/>
        <v>0.10227665291917572</v>
      </c>
      <c r="J141" s="91">
        <f t="shared" si="32"/>
        <v>0.1101916017786904</v>
      </c>
      <c r="K141" s="91">
        <f t="shared" si="32"/>
        <v>0.10417602696769086</v>
      </c>
      <c r="L141" s="91">
        <f t="shared" si="32"/>
        <v>9.8200728786481908E-2</v>
      </c>
      <c r="M141" s="91">
        <f t="shared" si="32"/>
        <v>9.2270083265570374E-2</v>
      </c>
      <c r="N141" s="91">
        <f t="shared" si="32"/>
        <v>8.6388817322029451E-2</v>
      </c>
      <c r="O141" s="91">
        <f t="shared" si="33"/>
        <v>8.0562972656589446E-2</v>
      </c>
      <c r="P141" s="91">
        <f t="shared" si="33"/>
        <v>8.3449645923841201E-2</v>
      </c>
      <c r="Q141" s="91">
        <f t="shared" si="33"/>
        <v>8.6399260414222107E-2</v>
      </c>
      <c r="R141" s="91">
        <f t="shared" si="33"/>
        <v>8.9415404175370194E-2</v>
      </c>
      <c r="S141" s="91">
        <f t="shared" si="33"/>
        <v>9.2506072189519922E-2</v>
      </c>
      <c r="T141" s="91">
        <f t="shared" si="33"/>
        <v>9.5685303412522335E-2</v>
      </c>
      <c r="U141" s="91">
        <f t="shared" si="33"/>
        <v>0.10735554531065382</v>
      </c>
      <c r="V141" s="91">
        <f t="shared" si="33"/>
        <v>0.11911674895537318</v>
      </c>
      <c r="W141" s="91">
        <f t="shared" si="33"/>
        <v>0.13097198017271661</v>
      </c>
      <c r="X141" s="91">
        <f t="shared" si="33"/>
        <v>0.14293423362126811</v>
      </c>
      <c r="Y141" s="91">
        <f t="shared" si="34"/>
        <v>0.14579291829369351</v>
      </c>
      <c r="Z141" s="91">
        <f t="shared" si="34"/>
        <v>0.14870877665956736</v>
      </c>
      <c r="AA141" s="91">
        <f t="shared" si="34"/>
        <v>0.15168295219275868</v>
      </c>
      <c r="AB141" s="91">
        <f t="shared" si="34"/>
        <v>0.15471661123661387</v>
      </c>
      <c r="AC141" s="91">
        <f t="shared" si="34"/>
        <v>0.15781094346134614</v>
      </c>
      <c r="AD141" s="91">
        <f t="shared" si="34"/>
        <v>0.16096716233057307</v>
      </c>
      <c r="AE141" s="91">
        <f t="shared" si="34"/>
        <v>0.16418650557718451</v>
      </c>
      <c r="AF141" s="91">
        <f t="shared" si="34"/>
        <v>0.16747023568872821</v>
      </c>
      <c r="AG141" s="91">
        <f t="shared" si="34"/>
        <v>0.17081964040250278</v>
      </c>
      <c r="AH141" s="91">
        <f t="shared" si="34"/>
        <v>0.17423603321055284</v>
      </c>
    </row>
    <row r="142" spans="2:34" ht="15" customHeight="1">
      <c r="B142" s="67" t="s">
        <v>64</v>
      </c>
      <c r="C142" s="91">
        <f t="shared" ca="1" si="31"/>
        <v>8.7698077538549774E-2</v>
      </c>
      <c r="E142" s="91">
        <f t="shared" si="32"/>
        <v>2.6586094482542431E-2</v>
      </c>
      <c r="F142" s="91">
        <f t="shared" si="32"/>
        <v>5.6560915133408704E-2</v>
      </c>
      <c r="G142" s="91">
        <f t="shared" si="32"/>
        <v>8.6563533904485582E-2</v>
      </c>
      <c r="H142" s="91">
        <f t="shared" si="32"/>
        <v>9.4399670484158107E-2</v>
      </c>
      <c r="I142" s="91">
        <f t="shared" si="32"/>
        <v>0.10227665291917572</v>
      </c>
      <c r="J142" s="91">
        <f t="shared" si="32"/>
        <v>0.1101916017786904</v>
      </c>
      <c r="K142" s="91">
        <f t="shared" si="32"/>
        <v>0.10417602696769086</v>
      </c>
      <c r="L142" s="91">
        <f t="shared" si="32"/>
        <v>9.8200728786481908E-2</v>
      </c>
      <c r="M142" s="91">
        <f t="shared" si="32"/>
        <v>9.2270083265570374E-2</v>
      </c>
      <c r="N142" s="91">
        <f t="shared" si="32"/>
        <v>8.6388817322029451E-2</v>
      </c>
      <c r="O142" s="91">
        <f t="shared" si="33"/>
        <v>8.0562972656589446E-2</v>
      </c>
      <c r="P142" s="91">
        <f t="shared" si="33"/>
        <v>8.3449645923841201E-2</v>
      </c>
      <c r="Q142" s="91">
        <f t="shared" si="33"/>
        <v>8.6399260414222107E-2</v>
      </c>
      <c r="R142" s="91">
        <f t="shared" si="33"/>
        <v>8.9415404175370194E-2</v>
      </c>
      <c r="S142" s="91">
        <f t="shared" si="33"/>
        <v>9.2506072189519922E-2</v>
      </c>
      <c r="T142" s="91">
        <f t="shared" si="33"/>
        <v>9.5685303412522335E-2</v>
      </c>
      <c r="U142" s="91">
        <f t="shared" si="33"/>
        <v>0.10735554531065382</v>
      </c>
      <c r="V142" s="91">
        <f t="shared" si="33"/>
        <v>0.11911674895537318</v>
      </c>
      <c r="W142" s="91">
        <f t="shared" si="33"/>
        <v>0.13097198017271661</v>
      </c>
      <c r="X142" s="91">
        <f t="shared" si="33"/>
        <v>0.14293423362126811</v>
      </c>
      <c r="Y142" s="91">
        <f t="shared" si="34"/>
        <v>0.14579291829369351</v>
      </c>
      <c r="Z142" s="91">
        <f t="shared" si="34"/>
        <v>0.14870877665956736</v>
      </c>
      <c r="AA142" s="91">
        <f t="shared" si="34"/>
        <v>0.15168295219275868</v>
      </c>
      <c r="AB142" s="91">
        <f t="shared" si="34"/>
        <v>0.15471661123661387</v>
      </c>
      <c r="AC142" s="91">
        <f t="shared" si="34"/>
        <v>0.15781094346134614</v>
      </c>
      <c r="AD142" s="91">
        <f t="shared" si="34"/>
        <v>0.16096716233057307</v>
      </c>
      <c r="AE142" s="91">
        <f t="shared" si="34"/>
        <v>0.16418650557718451</v>
      </c>
      <c r="AF142" s="91">
        <f t="shared" si="34"/>
        <v>0.16747023568872821</v>
      </c>
      <c r="AG142" s="91">
        <f t="shared" si="34"/>
        <v>0.17081964040250278</v>
      </c>
      <c r="AH142" s="91">
        <f t="shared" si="34"/>
        <v>0.17423603321055284</v>
      </c>
    </row>
    <row r="143" spans="2:34" ht="15" customHeight="1">
      <c r="B143" s="67" t="s">
        <v>65</v>
      </c>
      <c r="C143" s="91">
        <f t="shared" ca="1" si="31"/>
        <v>8.7698077538549774E-2</v>
      </c>
      <c r="E143" s="91">
        <f t="shared" si="32"/>
        <v>2.6586094482542431E-2</v>
      </c>
      <c r="F143" s="91">
        <f t="shared" si="32"/>
        <v>5.6560915133408704E-2</v>
      </c>
      <c r="G143" s="91">
        <f t="shared" si="32"/>
        <v>8.6563533904485582E-2</v>
      </c>
      <c r="H143" s="91">
        <f t="shared" si="32"/>
        <v>9.4399670484158107E-2</v>
      </c>
      <c r="I143" s="91">
        <f t="shared" si="32"/>
        <v>0.10227665291917572</v>
      </c>
      <c r="J143" s="91">
        <f t="shared" si="32"/>
        <v>0.1101916017786904</v>
      </c>
      <c r="K143" s="91">
        <f t="shared" si="32"/>
        <v>0.10417602696769086</v>
      </c>
      <c r="L143" s="91">
        <f t="shared" si="32"/>
        <v>9.8200728786481908E-2</v>
      </c>
      <c r="M143" s="91">
        <f t="shared" si="32"/>
        <v>9.2270083265570374E-2</v>
      </c>
      <c r="N143" s="91">
        <f t="shared" si="32"/>
        <v>8.6388817322029451E-2</v>
      </c>
      <c r="O143" s="91">
        <f t="shared" si="33"/>
        <v>8.0562972656589446E-2</v>
      </c>
      <c r="P143" s="91">
        <f t="shared" si="33"/>
        <v>8.3449645923841201E-2</v>
      </c>
      <c r="Q143" s="91">
        <f t="shared" si="33"/>
        <v>8.6399260414222107E-2</v>
      </c>
      <c r="R143" s="91">
        <f t="shared" si="33"/>
        <v>8.9415404175370194E-2</v>
      </c>
      <c r="S143" s="91">
        <f t="shared" si="33"/>
        <v>9.2506072189519922E-2</v>
      </c>
      <c r="T143" s="91">
        <f t="shared" si="33"/>
        <v>9.5685303412522335E-2</v>
      </c>
      <c r="U143" s="91">
        <f t="shared" si="33"/>
        <v>0.10735554531065382</v>
      </c>
      <c r="V143" s="91">
        <f t="shared" si="33"/>
        <v>0.11911674895537318</v>
      </c>
      <c r="W143" s="91">
        <f t="shared" si="33"/>
        <v>0.13097198017271661</v>
      </c>
      <c r="X143" s="91">
        <f t="shared" si="33"/>
        <v>0.14293423362126811</v>
      </c>
      <c r="Y143" s="91">
        <f t="shared" si="34"/>
        <v>0.14579291829369351</v>
      </c>
      <c r="Z143" s="91">
        <f t="shared" si="34"/>
        <v>0.14870877665956736</v>
      </c>
      <c r="AA143" s="91">
        <f t="shared" si="34"/>
        <v>0.15168295219275868</v>
      </c>
      <c r="AB143" s="91">
        <f t="shared" si="34"/>
        <v>0.15471661123661387</v>
      </c>
      <c r="AC143" s="91">
        <f t="shared" si="34"/>
        <v>0.15781094346134614</v>
      </c>
      <c r="AD143" s="91">
        <f t="shared" si="34"/>
        <v>0.16096716233057307</v>
      </c>
      <c r="AE143" s="91">
        <f t="shared" si="34"/>
        <v>0.16418650557718451</v>
      </c>
      <c r="AF143" s="91">
        <f t="shared" si="34"/>
        <v>0.16747023568872821</v>
      </c>
      <c r="AG143" s="91">
        <f t="shared" si="34"/>
        <v>0.17081964040250278</v>
      </c>
      <c r="AH143" s="91">
        <f t="shared" si="34"/>
        <v>0.17423603321055284</v>
      </c>
    </row>
    <row r="144" spans="2:34" ht="15" customHeight="1">
      <c r="B144" s="68" t="s">
        <v>66</v>
      </c>
      <c r="C144" s="91">
        <f t="shared" ca="1" si="31"/>
        <v>8.7698077538549774E-2</v>
      </c>
      <c r="E144" s="91">
        <f t="shared" si="32"/>
        <v>2.6586094482542431E-2</v>
      </c>
      <c r="F144" s="91">
        <f t="shared" si="32"/>
        <v>5.6560915133408704E-2</v>
      </c>
      <c r="G144" s="91">
        <f t="shared" si="32"/>
        <v>8.6563533904485582E-2</v>
      </c>
      <c r="H144" s="91">
        <f t="shared" si="32"/>
        <v>9.4399670484158107E-2</v>
      </c>
      <c r="I144" s="91">
        <f t="shared" si="32"/>
        <v>0.10227665291917572</v>
      </c>
      <c r="J144" s="91">
        <f t="shared" si="32"/>
        <v>0.1101916017786904</v>
      </c>
      <c r="K144" s="91">
        <f t="shared" si="32"/>
        <v>0.10417602696769086</v>
      </c>
      <c r="L144" s="91">
        <f t="shared" si="32"/>
        <v>9.8200728786481908E-2</v>
      </c>
      <c r="M144" s="91">
        <f t="shared" si="32"/>
        <v>9.2270083265570374E-2</v>
      </c>
      <c r="N144" s="91">
        <f t="shared" si="32"/>
        <v>8.6388817322029451E-2</v>
      </c>
      <c r="O144" s="91">
        <f t="shared" si="33"/>
        <v>8.0562972656589446E-2</v>
      </c>
      <c r="P144" s="91">
        <f t="shared" si="33"/>
        <v>8.3449645923841201E-2</v>
      </c>
      <c r="Q144" s="91">
        <f t="shared" si="33"/>
        <v>8.6399260414222107E-2</v>
      </c>
      <c r="R144" s="91">
        <f t="shared" si="33"/>
        <v>8.9415404175370194E-2</v>
      </c>
      <c r="S144" s="91">
        <f t="shared" si="33"/>
        <v>9.2506072189519922E-2</v>
      </c>
      <c r="T144" s="91">
        <f t="shared" si="33"/>
        <v>9.5685303412522335E-2</v>
      </c>
      <c r="U144" s="91">
        <f t="shared" si="33"/>
        <v>0.10735554531065382</v>
      </c>
      <c r="V144" s="91">
        <f t="shared" si="33"/>
        <v>0.11911674895537318</v>
      </c>
      <c r="W144" s="91">
        <f t="shared" si="33"/>
        <v>0.13097198017271661</v>
      </c>
      <c r="X144" s="91">
        <f t="shared" si="33"/>
        <v>0.14293423362126811</v>
      </c>
      <c r="Y144" s="91">
        <f t="shared" si="34"/>
        <v>0.14579291829369351</v>
      </c>
      <c r="Z144" s="91">
        <f t="shared" si="34"/>
        <v>0.14870877665956736</v>
      </c>
      <c r="AA144" s="91">
        <f t="shared" si="34"/>
        <v>0.15168295219275868</v>
      </c>
      <c r="AB144" s="91">
        <f t="shared" si="34"/>
        <v>0.15471661123661387</v>
      </c>
      <c r="AC144" s="91">
        <f t="shared" si="34"/>
        <v>0.15781094346134614</v>
      </c>
      <c r="AD144" s="91">
        <f t="shared" si="34"/>
        <v>0.16096716233057307</v>
      </c>
      <c r="AE144" s="91">
        <f t="shared" si="34"/>
        <v>0.16418650557718451</v>
      </c>
      <c r="AF144" s="91">
        <f t="shared" si="34"/>
        <v>0.16747023568872821</v>
      </c>
      <c r="AG144" s="91">
        <f t="shared" si="34"/>
        <v>0.17081964040250278</v>
      </c>
      <c r="AH144" s="91">
        <f t="shared" si="34"/>
        <v>0.17423603321055284</v>
      </c>
    </row>
    <row r="145" spans="2:34">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row>
    <row r="146" spans="2:34" ht="15" customHeight="1">
      <c r="B146" s="234" t="s">
        <v>44</v>
      </c>
      <c r="C146" s="234" t="s">
        <v>74</v>
      </c>
      <c r="D146" s="234"/>
      <c r="E146" s="234">
        <f t="shared" ref="E146:AH146" si="35">E$46</f>
        <v>2026</v>
      </c>
      <c r="F146" s="234">
        <f t="shared" si="35"/>
        <v>2027</v>
      </c>
      <c r="G146" s="234">
        <f t="shared" si="35"/>
        <v>2028</v>
      </c>
      <c r="H146" s="234">
        <f t="shared" si="35"/>
        <v>2029</v>
      </c>
      <c r="I146" s="234">
        <f t="shared" si="35"/>
        <v>2030</v>
      </c>
      <c r="J146" s="234">
        <f t="shared" si="35"/>
        <v>2031</v>
      </c>
      <c r="K146" s="234">
        <f t="shared" si="35"/>
        <v>2032</v>
      </c>
      <c r="L146" s="234">
        <f t="shared" si="35"/>
        <v>2033</v>
      </c>
      <c r="M146" s="234">
        <f t="shared" si="35"/>
        <v>2034</v>
      </c>
      <c r="N146" s="234">
        <f t="shared" si="35"/>
        <v>2035</v>
      </c>
      <c r="O146" s="234">
        <f t="shared" si="35"/>
        <v>2036</v>
      </c>
      <c r="P146" s="234">
        <f t="shared" si="35"/>
        <v>2037</v>
      </c>
      <c r="Q146" s="234">
        <f t="shared" si="35"/>
        <v>2038</v>
      </c>
      <c r="R146" s="234">
        <f t="shared" si="35"/>
        <v>2039</v>
      </c>
      <c r="S146" s="234">
        <f t="shared" si="35"/>
        <v>2040</v>
      </c>
      <c r="T146" s="234">
        <f t="shared" si="35"/>
        <v>2041</v>
      </c>
      <c r="U146" s="234">
        <f t="shared" si="35"/>
        <v>2042</v>
      </c>
      <c r="V146" s="234">
        <f t="shared" si="35"/>
        <v>2043</v>
      </c>
      <c r="W146" s="234">
        <f t="shared" si="35"/>
        <v>2044</v>
      </c>
      <c r="X146" s="234">
        <f t="shared" si="35"/>
        <v>2045</v>
      </c>
      <c r="Y146" s="234">
        <f t="shared" si="35"/>
        <v>2046</v>
      </c>
      <c r="Z146" s="234">
        <f t="shared" si="35"/>
        <v>2047</v>
      </c>
      <c r="AA146" s="234">
        <f t="shared" si="35"/>
        <v>2048</v>
      </c>
      <c r="AB146" s="234">
        <f t="shared" si="35"/>
        <v>2049</v>
      </c>
      <c r="AC146" s="234">
        <f t="shared" si="35"/>
        <v>2050</v>
      </c>
      <c r="AD146" s="234">
        <f t="shared" si="35"/>
        <v>2051</v>
      </c>
      <c r="AE146" s="234">
        <f t="shared" si="35"/>
        <v>2052</v>
      </c>
      <c r="AF146" s="234">
        <f t="shared" si="35"/>
        <v>2053</v>
      </c>
      <c r="AG146" s="234">
        <f t="shared" si="35"/>
        <v>2054</v>
      </c>
      <c r="AH146" s="234">
        <f t="shared" si="35"/>
        <v>2055</v>
      </c>
    </row>
    <row r="147" spans="2:34" ht="15" customHeight="1">
      <c r="B147" s="67" t="s">
        <v>52</v>
      </c>
      <c r="C147" s="91">
        <f t="shared" ref="C147:C158" ca="1" si="36">-PMT($C$17,$C$15,NPV($C$17,OFFSET(E147,0,$C$72,1,$C$15)))</f>
        <v>0</v>
      </c>
      <c r="E147" s="91">
        <f t="shared" ref="E147:N158" si="37">E$53*$C$28</f>
        <v>0</v>
      </c>
      <c r="F147" s="91">
        <f t="shared" si="37"/>
        <v>0</v>
      </c>
      <c r="G147" s="91">
        <f t="shared" si="37"/>
        <v>0</v>
      </c>
      <c r="H147" s="91">
        <f t="shared" si="37"/>
        <v>0</v>
      </c>
      <c r="I147" s="91">
        <f t="shared" si="37"/>
        <v>0</v>
      </c>
      <c r="J147" s="91">
        <f t="shared" si="37"/>
        <v>0</v>
      </c>
      <c r="K147" s="91">
        <f t="shared" si="37"/>
        <v>0</v>
      </c>
      <c r="L147" s="91">
        <f t="shared" si="37"/>
        <v>0</v>
      </c>
      <c r="M147" s="91">
        <f t="shared" si="37"/>
        <v>0</v>
      </c>
      <c r="N147" s="91">
        <f t="shared" si="37"/>
        <v>0</v>
      </c>
      <c r="O147" s="91">
        <f t="shared" ref="O147:X158" si="38">O$53*$C$28</f>
        <v>0</v>
      </c>
      <c r="P147" s="91">
        <f t="shared" si="38"/>
        <v>0</v>
      </c>
      <c r="Q147" s="91">
        <f t="shared" si="38"/>
        <v>0</v>
      </c>
      <c r="R147" s="91">
        <f t="shared" si="38"/>
        <v>0</v>
      </c>
      <c r="S147" s="91">
        <f t="shared" si="38"/>
        <v>0</v>
      </c>
      <c r="T147" s="91">
        <f t="shared" si="38"/>
        <v>0</v>
      </c>
      <c r="U147" s="91">
        <f t="shared" si="38"/>
        <v>0</v>
      </c>
      <c r="V147" s="91">
        <f t="shared" si="38"/>
        <v>0</v>
      </c>
      <c r="W147" s="91">
        <f t="shared" si="38"/>
        <v>0</v>
      </c>
      <c r="X147" s="91">
        <f t="shared" si="38"/>
        <v>0</v>
      </c>
      <c r="Y147" s="91">
        <f t="shared" ref="Y147:AH158" si="39">Y$53*$C$28</f>
        <v>0</v>
      </c>
      <c r="Z147" s="91">
        <f t="shared" si="39"/>
        <v>0</v>
      </c>
      <c r="AA147" s="91">
        <f t="shared" si="39"/>
        <v>0</v>
      </c>
      <c r="AB147" s="91">
        <f t="shared" si="39"/>
        <v>0</v>
      </c>
      <c r="AC147" s="91">
        <f t="shared" si="39"/>
        <v>0</v>
      </c>
      <c r="AD147" s="91">
        <f t="shared" si="39"/>
        <v>0</v>
      </c>
      <c r="AE147" s="91">
        <f t="shared" si="39"/>
        <v>0</v>
      </c>
      <c r="AF147" s="91">
        <f t="shared" si="39"/>
        <v>0</v>
      </c>
      <c r="AG147" s="91">
        <f t="shared" si="39"/>
        <v>0</v>
      </c>
      <c r="AH147" s="91">
        <f t="shared" si="39"/>
        <v>0</v>
      </c>
    </row>
    <row r="148" spans="2:34" ht="15" customHeight="1">
      <c r="B148" s="67" t="s">
        <v>54</v>
      </c>
      <c r="C148" s="91">
        <f t="shared" ca="1" si="36"/>
        <v>0</v>
      </c>
      <c r="E148" s="91">
        <f t="shared" si="37"/>
        <v>0</v>
      </c>
      <c r="F148" s="91">
        <f t="shared" si="37"/>
        <v>0</v>
      </c>
      <c r="G148" s="91">
        <f t="shared" si="37"/>
        <v>0</v>
      </c>
      <c r="H148" s="91">
        <f t="shared" si="37"/>
        <v>0</v>
      </c>
      <c r="I148" s="91">
        <f t="shared" si="37"/>
        <v>0</v>
      </c>
      <c r="J148" s="91">
        <f t="shared" si="37"/>
        <v>0</v>
      </c>
      <c r="K148" s="91">
        <f t="shared" si="37"/>
        <v>0</v>
      </c>
      <c r="L148" s="91">
        <f t="shared" si="37"/>
        <v>0</v>
      </c>
      <c r="M148" s="91">
        <f t="shared" si="37"/>
        <v>0</v>
      </c>
      <c r="N148" s="91">
        <f t="shared" si="37"/>
        <v>0</v>
      </c>
      <c r="O148" s="91">
        <f t="shared" si="38"/>
        <v>0</v>
      </c>
      <c r="P148" s="91">
        <f t="shared" si="38"/>
        <v>0</v>
      </c>
      <c r="Q148" s="91">
        <f t="shared" si="38"/>
        <v>0</v>
      </c>
      <c r="R148" s="91">
        <f t="shared" si="38"/>
        <v>0</v>
      </c>
      <c r="S148" s="91">
        <f t="shared" si="38"/>
        <v>0</v>
      </c>
      <c r="T148" s="91">
        <f t="shared" si="38"/>
        <v>0</v>
      </c>
      <c r="U148" s="91">
        <f t="shared" si="38"/>
        <v>0</v>
      </c>
      <c r="V148" s="91">
        <f t="shared" si="38"/>
        <v>0</v>
      </c>
      <c r="W148" s="91">
        <f t="shared" si="38"/>
        <v>0</v>
      </c>
      <c r="X148" s="91">
        <f t="shared" si="38"/>
        <v>0</v>
      </c>
      <c r="Y148" s="91">
        <f t="shared" si="39"/>
        <v>0</v>
      </c>
      <c r="Z148" s="91">
        <f t="shared" si="39"/>
        <v>0</v>
      </c>
      <c r="AA148" s="91">
        <f t="shared" si="39"/>
        <v>0</v>
      </c>
      <c r="AB148" s="91">
        <f t="shared" si="39"/>
        <v>0</v>
      </c>
      <c r="AC148" s="91">
        <f t="shared" si="39"/>
        <v>0</v>
      </c>
      <c r="AD148" s="91">
        <f t="shared" si="39"/>
        <v>0</v>
      </c>
      <c r="AE148" s="91">
        <f t="shared" si="39"/>
        <v>0</v>
      </c>
      <c r="AF148" s="91">
        <f t="shared" si="39"/>
        <v>0</v>
      </c>
      <c r="AG148" s="91">
        <f t="shared" si="39"/>
        <v>0</v>
      </c>
      <c r="AH148" s="91">
        <f t="shared" si="39"/>
        <v>0</v>
      </c>
    </row>
    <row r="149" spans="2:34" ht="15" customHeight="1">
      <c r="B149" s="67" t="s">
        <v>56</v>
      </c>
      <c r="C149" s="91">
        <f t="shared" ca="1" si="36"/>
        <v>0</v>
      </c>
      <c r="E149" s="91">
        <f t="shared" si="37"/>
        <v>0</v>
      </c>
      <c r="F149" s="91">
        <f t="shared" si="37"/>
        <v>0</v>
      </c>
      <c r="G149" s="91">
        <f t="shared" si="37"/>
        <v>0</v>
      </c>
      <c r="H149" s="91">
        <f t="shared" si="37"/>
        <v>0</v>
      </c>
      <c r="I149" s="91">
        <f t="shared" si="37"/>
        <v>0</v>
      </c>
      <c r="J149" s="91">
        <f t="shared" si="37"/>
        <v>0</v>
      </c>
      <c r="K149" s="91">
        <f t="shared" si="37"/>
        <v>0</v>
      </c>
      <c r="L149" s="91">
        <f t="shared" si="37"/>
        <v>0</v>
      </c>
      <c r="M149" s="91">
        <f t="shared" si="37"/>
        <v>0</v>
      </c>
      <c r="N149" s="91">
        <f t="shared" si="37"/>
        <v>0</v>
      </c>
      <c r="O149" s="91">
        <f t="shared" si="38"/>
        <v>0</v>
      </c>
      <c r="P149" s="91">
        <f t="shared" si="38"/>
        <v>0</v>
      </c>
      <c r="Q149" s="91">
        <f t="shared" si="38"/>
        <v>0</v>
      </c>
      <c r="R149" s="91">
        <f t="shared" si="38"/>
        <v>0</v>
      </c>
      <c r="S149" s="91">
        <f t="shared" si="38"/>
        <v>0</v>
      </c>
      <c r="T149" s="91">
        <f t="shared" si="38"/>
        <v>0</v>
      </c>
      <c r="U149" s="91">
        <f t="shared" si="38"/>
        <v>0</v>
      </c>
      <c r="V149" s="91">
        <f t="shared" si="38"/>
        <v>0</v>
      </c>
      <c r="W149" s="91">
        <f t="shared" si="38"/>
        <v>0</v>
      </c>
      <c r="X149" s="91">
        <f t="shared" si="38"/>
        <v>0</v>
      </c>
      <c r="Y149" s="91">
        <f t="shared" si="39"/>
        <v>0</v>
      </c>
      <c r="Z149" s="91">
        <f t="shared" si="39"/>
        <v>0</v>
      </c>
      <c r="AA149" s="91">
        <f t="shared" si="39"/>
        <v>0</v>
      </c>
      <c r="AB149" s="91">
        <f t="shared" si="39"/>
        <v>0</v>
      </c>
      <c r="AC149" s="91">
        <f t="shared" si="39"/>
        <v>0</v>
      </c>
      <c r="AD149" s="91">
        <f t="shared" si="39"/>
        <v>0</v>
      </c>
      <c r="AE149" s="91">
        <f t="shared" si="39"/>
        <v>0</v>
      </c>
      <c r="AF149" s="91">
        <f t="shared" si="39"/>
        <v>0</v>
      </c>
      <c r="AG149" s="91">
        <f t="shared" si="39"/>
        <v>0</v>
      </c>
      <c r="AH149" s="91">
        <f t="shared" si="39"/>
        <v>0</v>
      </c>
    </row>
    <row r="150" spans="2:34" ht="15" customHeight="1">
      <c r="B150" s="67" t="s">
        <v>58</v>
      </c>
      <c r="C150" s="91">
        <f t="shared" ca="1" si="36"/>
        <v>0</v>
      </c>
      <c r="E150" s="91">
        <f t="shared" si="37"/>
        <v>0</v>
      </c>
      <c r="F150" s="91">
        <f t="shared" si="37"/>
        <v>0</v>
      </c>
      <c r="G150" s="91">
        <f t="shared" si="37"/>
        <v>0</v>
      </c>
      <c r="H150" s="91">
        <f t="shared" si="37"/>
        <v>0</v>
      </c>
      <c r="I150" s="91">
        <f t="shared" si="37"/>
        <v>0</v>
      </c>
      <c r="J150" s="91">
        <f t="shared" si="37"/>
        <v>0</v>
      </c>
      <c r="K150" s="91">
        <f t="shared" si="37"/>
        <v>0</v>
      </c>
      <c r="L150" s="91">
        <f t="shared" si="37"/>
        <v>0</v>
      </c>
      <c r="M150" s="91">
        <f t="shared" si="37"/>
        <v>0</v>
      </c>
      <c r="N150" s="91">
        <f t="shared" si="37"/>
        <v>0</v>
      </c>
      <c r="O150" s="91">
        <f t="shared" si="38"/>
        <v>0</v>
      </c>
      <c r="P150" s="91">
        <f t="shared" si="38"/>
        <v>0</v>
      </c>
      <c r="Q150" s="91">
        <f t="shared" si="38"/>
        <v>0</v>
      </c>
      <c r="R150" s="91">
        <f t="shared" si="38"/>
        <v>0</v>
      </c>
      <c r="S150" s="91">
        <f t="shared" si="38"/>
        <v>0</v>
      </c>
      <c r="T150" s="91">
        <f t="shared" si="38"/>
        <v>0</v>
      </c>
      <c r="U150" s="91">
        <f t="shared" si="38"/>
        <v>0</v>
      </c>
      <c r="V150" s="91">
        <f t="shared" si="38"/>
        <v>0</v>
      </c>
      <c r="W150" s="91">
        <f t="shared" si="38"/>
        <v>0</v>
      </c>
      <c r="X150" s="91">
        <f t="shared" si="38"/>
        <v>0</v>
      </c>
      <c r="Y150" s="91">
        <f t="shared" si="39"/>
        <v>0</v>
      </c>
      <c r="Z150" s="91">
        <f t="shared" si="39"/>
        <v>0</v>
      </c>
      <c r="AA150" s="91">
        <f t="shared" si="39"/>
        <v>0</v>
      </c>
      <c r="AB150" s="91">
        <f t="shared" si="39"/>
        <v>0</v>
      </c>
      <c r="AC150" s="91">
        <f t="shared" si="39"/>
        <v>0</v>
      </c>
      <c r="AD150" s="91">
        <f t="shared" si="39"/>
        <v>0</v>
      </c>
      <c r="AE150" s="91">
        <f t="shared" si="39"/>
        <v>0</v>
      </c>
      <c r="AF150" s="91">
        <f t="shared" si="39"/>
        <v>0</v>
      </c>
      <c r="AG150" s="91">
        <f t="shared" si="39"/>
        <v>0</v>
      </c>
      <c r="AH150" s="91">
        <f t="shared" si="39"/>
        <v>0</v>
      </c>
    </row>
    <row r="151" spans="2:34" ht="15" customHeight="1">
      <c r="B151" s="67" t="s">
        <v>59</v>
      </c>
      <c r="C151" s="91">
        <f t="shared" ca="1" si="36"/>
        <v>0</v>
      </c>
      <c r="E151" s="91">
        <f t="shared" si="37"/>
        <v>0</v>
      </c>
      <c r="F151" s="91">
        <f t="shared" si="37"/>
        <v>0</v>
      </c>
      <c r="G151" s="91">
        <f t="shared" si="37"/>
        <v>0</v>
      </c>
      <c r="H151" s="91">
        <f t="shared" si="37"/>
        <v>0</v>
      </c>
      <c r="I151" s="91">
        <f t="shared" si="37"/>
        <v>0</v>
      </c>
      <c r="J151" s="91">
        <f t="shared" si="37"/>
        <v>0</v>
      </c>
      <c r="K151" s="91">
        <f t="shared" si="37"/>
        <v>0</v>
      </c>
      <c r="L151" s="91">
        <f t="shared" si="37"/>
        <v>0</v>
      </c>
      <c r="M151" s="91">
        <f t="shared" si="37"/>
        <v>0</v>
      </c>
      <c r="N151" s="91">
        <f t="shared" si="37"/>
        <v>0</v>
      </c>
      <c r="O151" s="91">
        <f t="shared" si="38"/>
        <v>0</v>
      </c>
      <c r="P151" s="91">
        <f t="shared" si="38"/>
        <v>0</v>
      </c>
      <c r="Q151" s="91">
        <f t="shared" si="38"/>
        <v>0</v>
      </c>
      <c r="R151" s="91">
        <f t="shared" si="38"/>
        <v>0</v>
      </c>
      <c r="S151" s="91">
        <f t="shared" si="38"/>
        <v>0</v>
      </c>
      <c r="T151" s="91">
        <f t="shared" si="38"/>
        <v>0</v>
      </c>
      <c r="U151" s="91">
        <f t="shared" si="38"/>
        <v>0</v>
      </c>
      <c r="V151" s="91">
        <f t="shared" si="38"/>
        <v>0</v>
      </c>
      <c r="W151" s="91">
        <f t="shared" si="38"/>
        <v>0</v>
      </c>
      <c r="X151" s="91">
        <f t="shared" si="38"/>
        <v>0</v>
      </c>
      <c r="Y151" s="91">
        <f t="shared" si="39"/>
        <v>0</v>
      </c>
      <c r="Z151" s="91">
        <f t="shared" si="39"/>
        <v>0</v>
      </c>
      <c r="AA151" s="91">
        <f t="shared" si="39"/>
        <v>0</v>
      </c>
      <c r="AB151" s="91">
        <f t="shared" si="39"/>
        <v>0</v>
      </c>
      <c r="AC151" s="91">
        <f t="shared" si="39"/>
        <v>0</v>
      </c>
      <c r="AD151" s="91">
        <f t="shared" si="39"/>
        <v>0</v>
      </c>
      <c r="AE151" s="91">
        <f t="shared" si="39"/>
        <v>0</v>
      </c>
      <c r="AF151" s="91">
        <f t="shared" si="39"/>
        <v>0</v>
      </c>
      <c r="AG151" s="91">
        <f t="shared" si="39"/>
        <v>0</v>
      </c>
      <c r="AH151" s="91">
        <f t="shared" si="39"/>
        <v>0</v>
      </c>
    </row>
    <row r="152" spans="2:34" ht="15" customHeight="1">
      <c r="B152" s="67" t="s">
        <v>60</v>
      </c>
      <c r="C152" s="91">
        <f t="shared" ca="1" si="36"/>
        <v>0</v>
      </c>
      <c r="E152" s="91">
        <f t="shared" si="37"/>
        <v>0</v>
      </c>
      <c r="F152" s="91">
        <f t="shared" si="37"/>
        <v>0</v>
      </c>
      <c r="G152" s="91">
        <f t="shared" si="37"/>
        <v>0</v>
      </c>
      <c r="H152" s="91">
        <f t="shared" si="37"/>
        <v>0</v>
      </c>
      <c r="I152" s="91">
        <f t="shared" si="37"/>
        <v>0</v>
      </c>
      <c r="J152" s="91">
        <f t="shared" si="37"/>
        <v>0</v>
      </c>
      <c r="K152" s="91">
        <f t="shared" si="37"/>
        <v>0</v>
      </c>
      <c r="L152" s="91">
        <f t="shared" si="37"/>
        <v>0</v>
      </c>
      <c r="M152" s="91">
        <f t="shared" si="37"/>
        <v>0</v>
      </c>
      <c r="N152" s="91">
        <f t="shared" si="37"/>
        <v>0</v>
      </c>
      <c r="O152" s="91">
        <f t="shared" si="38"/>
        <v>0</v>
      </c>
      <c r="P152" s="91">
        <f t="shared" si="38"/>
        <v>0</v>
      </c>
      <c r="Q152" s="91">
        <f t="shared" si="38"/>
        <v>0</v>
      </c>
      <c r="R152" s="91">
        <f t="shared" si="38"/>
        <v>0</v>
      </c>
      <c r="S152" s="91">
        <f t="shared" si="38"/>
        <v>0</v>
      </c>
      <c r="T152" s="91">
        <f t="shared" si="38"/>
        <v>0</v>
      </c>
      <c r="U152" s="91">
        <f t="shared" si="38"/>
        <v>0</v>
      </c>
      <c r="V152" s="91">
        <f t="shared" si="38"/>
        <v>0</v>
      </c>
      <c r="W152" s="91">
        <f t="shared" si="38"/>
        <v>0</v>
      </c>
      <c r="X152" s="91">
        <f t="shared" si="38"/>
        <v>0</v>
      </c>
      <c r="Y152" s="91">
        <f t="shared" si="39"/>
        <v>0</v>
      </c>
      <c r="Z152" s="91">
        <f t="shared" si="39"/>
        <v>0</v>
      </c>
      <c r="AA152" s="91">
        <f t="shared" si="39"/>
        <v>0</v>
      </c>
      <c r="AB152" s="91">
        <f t="shared" si="39"/>
        <v>0</v>
      </c>
      <c r="AC152" s="91">
        <f t="shared" si="39"/>
        <v>0</v>
      </c>
      <c r="AD152" s="91">
        <f t="shared" si="39"/>
        <v>0</v>
      </c>
      <c r="AE152" s="91">
        <f t="shared" si="39"/>
        <v>0</v>
      </c>
      <c r="AF152" s="91">
        <f t="shared" si="39"/>
        <v>0</v>
      </c>
      <c r="AG152" s="91">
        <f t="shared" si="39"/>
        <v>0</v>
      </c>
      <c r="AH152" s="91">
        <f t="shared" si="39"/>
        <v>0</v>
      </c>
    </row>
    <row r="153" spans="2:34" ht="15" customHeight="1">
      <c r="B153" s="67" t="s">
        <v>61</v>
      </c>
      <c r="C153" s="91">
        <f t="shared" ca="1" si="36"/>
        <v>0</v>
      </c>
      <c r="E153" s="91">
        <f t="shared" si="37"/>
        <v>0</v>
      </c>
      <c r="F153" s="91">
        <f t="shared" si="37"/>
        <v>0</v>
      </c>
      <c r="G153" s="91">
        <f t="shared" si="37"/>
        <v>0</v>
      </c>
      <c r="H153" s="91">
        <f t="shared" si="37"/>
        <v>0</v>
      </c>
      <c r="I153" s="91">
        <f t="shared" si="37"/>
        <v>0</v>
      </c>
      <c r="J153" s="91">
        <f t="shared" si="37"/>
        <v>0</v>
      </c>
      <c r="K153" s="91">
        <f t="shared" si="37"/>
        <v>0</v>
      </c>
      <c r="L153" s="91">
        <f t="shared" si="37"/>
        <v>0</v>
      </c>
      <c r="M153" s="91">
        <f t="shared" si="37"/>
        <v>0</v>
      </c>
      <c r="N153" s="91">
        <f t="shared" si="37"/>
        <v>0</v>
      </c>
      <c r="O153" s="91">
        <f t="shared" si="38"/>
        <v>0</v>
      </c>
      <c r="P153" s="91">
        <f t="shared" si="38"/>
        <v>0</v>
      </c>
      <c r="Q153" s="91">
        <f t="shared" si="38"/>
        <v>0</v>
      </c>
      <c r="R153" s="91">
        <f t="shared" si="38"/>
        <v>0</v>
      </c>
      <c r="S153" s="91">
        <f t="shared" si="38"/>
        <v>0</v>
      </c>
      <c r="T153" s="91">
        <f t="shared" si="38"/>
        <v>0</v>
      </c>
      <c r="U153" s="91">
        <f t="shared" si="38"/>
        <v>0</v>
      </c>
      <c r="V153" s="91">
        <f t="shared" si="38"/>
        <v>0</v>
      </c>
      <c r="W153" s="91">
        <f t="shared" si="38"/>
        <v>0</v>
      </c>
      <c r="X153" s="91">
        <f t="shared" si="38"/>
        <v>0</v>
      </c>
      <c r="Y153" s="91">
        <f t="shared" si="39"/>
        <v>0</v>
      </c>
      <c r="Z153" s="91">
        <f t="shared" si="39"/>
        <v>0</v>
      </c>
      <c r="AA153" s="91">
        <f t="shared" si="39"/>
        <v>0</v>
      </c>
      <c r="AB153" s="91">
        <f t="shared" si="39"/>
        <v>0</v>
      </c>
      <c r="AC153" s="91">
        <f t="shared" si="39"/>
        <v>0</v>
      </c>
      <c r="AD153" s="91">
        <f t="shared" si="39"/>
        <v>0</v>
      </c>
      <c r="AE153" s="91">
        <f t="shared" si="39"/>
        <v>0</v>
      </c>
      <c r="AF153" s="91">
        <f t="shared" si="39"/>
        <v>0</v>
      </c>
      <c r="AG153" s="91">
        <f t="shared" si="39"/>
        <v>0</v>
      </c>
      <c r="AH153" s="91">
        <f t="shared" si="39"/>
        <v>0</v>
      </c>
    </row>
    <row r="154" spans="2:34" ht="15" customHeight="1">
      <c r="B154" s="67" t="s">
        <v>62</v>
      </c>
      <c r="C154" s="91">
        <f t="shared" ca="1" si="36"/>
        <v>0</v>
      </c>
      <c r="E154" s="91">
        <f t="shared" si="37"/>
        <v>0</v>
      </c>
      <c r="F154" s="91">
        <f t="shared" si="37"/>
        <v>0</v>
      </c>
      <c r="G154" s="91">
        <f t="shared" si="37"/>
        <v>0</v>
      </c>
      <c r="H154" s="91">
        <f t="shared" si="37"/>
        <v>0</v>
      </c>
      <c r="I154" s="91">
        <f t="shared" si="37"/>
        <v>0</v>
      </c>
      <c r="J154" s="91">
        <f t="shared" si="37"/>
        <v>0</v>
      </c>
      <c r="K154" s="91">
        <f t="shared" si="37"/>
        <v>0</v>
      </c>
      <c r="L154" s="91">
        <f t="shared" si="37"/>
        <v>0</v>
      </c>
      <c r="M154" s="91">
        <f t="shared" si="37"/>
        <v>0</v>
      </c>
      <c r="N154" s="91">
        <f t="shared" si="37"/>
        <v>0</v>
      </c>
      <c r="O154" s="91">
        <f t="shared" si="38"/>
        <v>0</v>
      </c>
      <c r="P154" s="91">
        <f t="shared" si="38"/>
        <v>0</v>
      </c>
      <c r="Q154" s="91">
        <f t="shared" si="38"/>
        <v>0</v>
      </c>
      <c r="R154" s="91">
        <f t="shared" si="38"/>
        <v>0</v>
      </c>
      <c r="S154" s="91">
        <f t="shared" si="38"/>
        <v>0</v>
      </c>
      <c r="T154" s="91">
        <f t="shared" si="38"/>
        <v>0</v>
      </c>
      <c r="U154" s="91">
        <f t="shared" si="38"/>
        <v>0</v>
      </c>
      <c r="V154" s="91">
        <f t="shared" si="38"/>
        <v>0</v>
      </c>
      <c r="W154" s="91">
        <f t="shared" si="38"/>
        <v>0</v>
      </c>
      <c r="X154" s="91">
        <f t="shared" si="38"/>
        <v>0</v>
      </c>
      <c r="Y154" s="91">
        <f t="shared" si="39"/>
        <v>0</v>
      </c>
      <c r="Z154" s="91">
        <f t="shared" si="39"/>
        <v>0</v>
      </c>
      <c r="AA154" s="91">
        <f t="shared" si="39"/>
        <v>0</v>
      </c>
      <c r="AB154" s="91">
        <f t="shared" si="39"/>
        <v>0</v>
      </c>
      <c r="AC154" s="91">
        <f t="shared" si="39"/>
        <v>0</v>
      </c>
      <c r="AD154" s="91">
        <f t="shared" si="39"/>
        <v>0</v>
      </c>
      <c r="AE154" s="91">
        <f t="shared" si="39"/>
        <v>0</v>
      </c>
      <c r="AF154" s="91">
        <f t="shared" si="39"/>
        <v>0</v>
      </c>
      <c r="AG154" s="91">
        <f t="shared" si="39"/>
        <v>0</v>
      </c>
      <c r="AH154" s="91">
        <f t="shared" si="39"/>
        <v>0</v>
      </c>
    </row>
    <row r="155" spans="2:34" ht="15" customHeight="1">
      <c r="B155" s="67" t="s">
        <v>63</v>
      </c>
      <c r="C155" s="91">
        <f t="shared" ca="1" si="36"/>
        <v>0</v>
      </c>
      <c r="E155" s="91">
        <f t="shared" si="37"/>
        <v>0</v>
      </c>
      <c r="F155" s="91">
        <f t="shared" si="37"/>
        <v>0</v>
      </c>
      <c r="G155" s="91">
        <f t="shared" si="37"/>
        <v>0</v>
      </c>
      <c r="H155" s="91">
        <f t="shared" si="37"/>
        <v>0</v>
      </c>
      <c r="I155" s="91">
        <f t="shared" si="37"/>
        <v>0</v>
      </c>
      <c r="J155" s="91">
        <f t="shared" si="37"/>
        <v>0</v>
      </c>
      <c r="K155" s="91">
        <f t="shared" si="37"/>
        <v>0</v>
      </c>
      <c r="L155" s="91">
        <f t="shared" si="37"/>
        <v>0</v>
      </c>
      <c r="M155" s="91">
        <f t="shared" si="37"/>
        <v>0</v>
      </c>
      <c r="N155" s="91">
        <f t="shared" si="37"/>
        <v>0</v>
      </c>
      <c r="O155" s="91">
        <f t="shared" si="38"/>
        <v>0</v>
      </c>
      <c r="P155" s="91">
        <f t="shared" si="38"/>
        <v>0</v>
      </c>
      <c r="Q155" s="91">
        <f t="shared" si="38"/>
        <v>0</v>
      </c>
      <c r="R155" s="91">
        <f t="shared" si="38"/>
        <v>0</v>
      </c>
      <c r="S155" s="91">
        <f t="shared" si="38"/>
        <v>0</v>
      </c>
      <c r="T155" s="91">
        <f t="shared" si="38"/>
        <v>0</v>
      </c>
      <c r="U155" s="91">
        <f t="shared" si="38"/>
        <v>0</v>
      </c>
      <c r="V155" s="91">
        <f t="shared" si="38"/>
        <v>0</v>
      </c>
      <c r="W155" s="91">
        <f t="shared" si="38"/>
        <v>0</v>
      </c>
      <c r="X155" s="91">
        <f t="shared" si="38"/>
        <v>0</v>
      </c>
      <c r="Y155" s="91">
        <f t="shared" si="39"/>
        <v>0</v>
      </c>
      <c r="Z155" s="91">
        <f t="shared" si="39"/>
        <v>0</v>
      </c>
      <c r="AA155" s="91">
        <f t="shared" si="39"/>
        <v>0</v>
      </c>
      <c r="AB155" s="91">
        <f t="shared" si="39"/>
        <v>0</v>
      </c>
      <c r="AC155" s="91">
        <f t="shared" si="39"/>
        <v>0</v>
      </c>
      <c r="AD155" s="91">
        <f t="shared" si="39"/>
        <v>0</v>
      </c>
      <c r="AE155" s="91">
        <f t="shared" si="39"/>
        <v>0</v>
      </c>
      <c r="AF155" s="91">
        <f t="shared" si="39"/>
        <v>0</v>
      </c>
      <c r="AG155" s="91">
        <f t="shared" si="39"/>
        <v>0</v>
      </c>
      <c r="AH155" s="91">
        <f t="shared" si="39"/>
        <v>0</v>
      </c>
    </row>
    <row r="156" spans="2:34" ht="15" customHeight="1">
      <c r="B156" s="67" t="s">
        <v>64</v>
      </c>
      <c r="C156" s="91">
        <f t="shared" ca="1" si="36"/>
        <v>0</v>
      </c>
      <c r="E156" s="91">
        <f t="shared" si="37"/>
        <v>0</v>
      </c>
      <c r="F156" s="91">
        <f t="shared" si="37"/>
        <v>0</v>
      </c>
      <c r="G156" s="91">
        <f t="shared" si="37"/>
        <v>0</v>
      </c>
      <c r="H156" s="91">
        <f t="shared" si="37"/>
        <v>0</v>
      </c>
      <c r="I156" s="91">
        <f t="shared" si="37"/>
        <v>0</v>
      </c>
      <c r="J156" s="91">
        <f t="shared" si="37"/>
        <v>0</v>
      </c>
      <c r="K156" s="91">
        <f t="shared" si="37"/>
        <v>0</v>
      </c>
      <c r="L156" s="91">
        <f t="shared" si="37"/>
        <v>0</v>
      </c>
      <c r="M156" s="91">
        <f t="shared" si="37"/>
        <v>0</v>
      </c>
      <c r="N156" s="91">
        <f t="shared" si="37"/>
        <v>0</v>
      </c>
      <c r="O156" s="91">
        <f t="shared" si="38"/>
        <v>0</v>
      </c>
      <c r="P156" s="91">
        <f t="shared" si="38"/>
        <v>0</v>
      </c>
      <c r="Q156" s="91">
        <f t="shared" si="38"/>
        <v>0</v>
      </c>
      <c r="R156" s="91">
        <f t="shared" si="38"/>
        <v>0</v>
      </c>
      <c r="S156" s="91">
        <f t="shared" si="38"/>
        <v>0</v>
      </c>
      <c r="T156" s="91">
        <f t="shared" si="38"/>
        <v>0</v>
      </c>
      <c r="U156" s="91">
        <f t="shared" si="38"/>
        <v>0</v>
      </c>
      <c r="V156" s="91">
        <f t="shared" si="38"/>
        <v>0</v>
      </c>
      <c r="W156" s="91">
        <f t="shared" si="38"/>
        <v>0</v>
      </c>
      <c r="X156" s="91">
        <f t="shared" si="38"/>
        <v>0</v>
      </c>
      <c r="Y156" s="91">
        <f t="shared" si="39"/>
        <v>0</v>
      </c>
      <c r="Z156" s="91">
        <f t="shared" si="39"/>
        <v>0</v>
      </c>
      <c r="AA156" s="91">
        <f t="shared" si="39"/>
        <v>0</v>
      </c>
      <c r="AB156" s="91">
        <f t="shared" si="39"/>
        <v>0</v>
      </c>
      <c r="AC156" s="91">
        <f t="shared" si="39"/>
        <v>0</v>
      </c>
      <c r="AD156" s="91">
        <f t="shared" si="39"/>
        <v>0</v>
      </c>
      <c r="AE156" s="91">
        <f t="shared" si="39"/>
        <v>0</v>
      </c>
      <c r="AF156" s="91">
        <f t="shared" si="39"/>
        <v>0</v>
      </c>
      <c r="AG156" s="91">
        <f t="shared" si="39"/>
        <v>0</v>
      </c>
      <c r="AH156" s="91">
        <f t="shared" si="39"/>
        <v>0</v>
      </c>
    </row>
    <row r="157" spans="2:34" ht="15" customHeight="1">
      <c r="B157" s="67" t="s">
        <v>65</v>
      </c>
      <c r="C157" s="91">
        <f t="shared" ca="1" si="36"/>
        <v>0</v>
      </c>
      <c r="E157" s="91">
        <f t="shared" si="37"/>
        <v>0</v>
      </c>
      <c r="F157" s="91">
        <f t="shared" si="37"/>
        <v>0</v>
      </c>
      <c r="G157" s="91">
        <f t="shared" si="37"/>
        <v>0</v>
      </c>
      <c r="H157" s="91">
        <f t="shared" si="37"/>
        <v>0</v>
      </c>
      <c r="I157" s="91">
        <f t="shared" si="37"/>
        <v>0</v>
      </c>
      <c r="J157" s="91">
        <f t="shared" si="37"/>
        <v>0</v>
      </c>
      <c r="K157" s="91">
        <f t="shared" si="37"/>
        <v>0</v>
      </c>
      <c r="L157" s="91">
        <f t="shared" si="37"/>
        <v>0</v>
      </c>
      <c r="M157" s="91">
        <f t="shared" si="37"/>
        <v>0</v>
      </c>
      <c r="N157" s="91">
        <f t="shared" si="37"/>
        <v>0</v>
      </c>
      <c r="O157" s="91">
        <f t="shared" si="38"/>
        <v>0</v>
      </c>
      <c r="P157" s="91">
        <f t="shared" si="38"/>
        <v>0</v>
      </c>
      <c r="Q157" s="91">
        <f t="shared" si="38"/>
        <v>0</v>
      </c>
      <c r="R157" s="91">
        <f t="shared" si="38"/>
        <v>0</v>
      </c>
      <c r="S157" s="91">
        <f t="shared" si="38"/>
        <v>0</v>
      </c>
      <c r="T157" s="91">
        <f t="shared" si="38"/>
        <v>0</v>
      </c>
      <c r="U157" s="91">
        <f t="shared" si="38"/>
        <v>0</v>
      </c>
      <c r="V157" s="91">
        <f t="shared" si="38"/>
        <v>0</v>
      </c>
      <c r="W157" s="91">
        <f t="shared" si="38"/>
        <v>0</v>
      </c>
      <c r="X157" s="91">
        <f t="shared" si="38"/>
        <v>0</v>
      </c>
      <c r="Y157" s="91">
        <f t="shared" si="39"/>
        <v>0</v>
      </c>
      <c r="Z157" s="91">
        <f t="shared" si="39"/>
        <v>0</v>
      </c>
      <c r="AA157" s="91">
        <f t="shared" si="39"/>
        <v>0</v>
      </c>
      <c r="AB157" s="91">
        <f t="shared" si="39"/>
        <v>0</v>
      </c>
      <c r="AC157" s="91">
        <f t="shared" si="39"/>
        <v>0</v>
      </c>
      <c r="AD157" s="91">
        <f t="shared" si="39"/>
        <v>0</v>
      </c>
      <c r="AE157" s="91">
        <f t="shared" si="39"/>
        <v>0</v>
      </c>
      <c r="AF157" s="91">
        <f t="shared" si="39"/>
        <v>0</v>
      </c>
      <c r="AG157" s="91">
        <f t="shared" si="39"/>
        <v>0</v>
      </c>
      <c r="AH157" s="91">
        <f t="shared" si="39"/>
        <v>0</v>
      </c>
    </row>
    <row r="158" spans="2:34" ht="15" customHeight="1">
      <c r="B158" s="68" t="s">
        <v>66</v>
      </c>
      <c r="C158" s="91">
        <f t="shared" ca="1" si="36"/>
        <v>0</v>
      </c>
      <c r="E158" s="91">
        <f t="shared" si="37"/>
        <v>0</v>
      </c>
      <c r="F158" s="91">
        <f t="shared" si="37"/>
        <v>0</v>
      </c>
      <c r="G158" s="91">
        <f t="shared" si="37"/>
        <v>0</v>
      </c>
      <c r="H158" s="91">
        <f t="shared" si="37"/>
        <v>0</v>
      </c>
      <c r="I158" s="91">
        <f t="shared" si="37"/>
        <v>0</v>
      </c>
      <c r="J158" s="91">
        <f t="shared" si="37"/>
        <v>0</v>
      </c>
      <c r="K158" s="91">
        <f t="shared" si="37"/>
        <v>0</v>
      </c>
      <c r="L158" s="91">
        <f t="shared" si="37"/>
        <v>0</v>
      </c>
      <c r="M158" s="91">
        <f t="shared" si="37"/>
        <v>0</v>
      </c>
      <c r="N158" s="91">
        <f t="shared" si="37"/>
        <v>0</v>
      </c>
      <c r="O158" s="91">
        <f t="shared" si="38"/>
        <v>0</v>
      </c>
      <c r="P158" s="91">
        <f t="shared" si="38"/>
        <v>0</v>
      </c>
      <c r="Q158" s="91">
        <f t="shared" si="38"/>
        <v>0</v>
      </c>
      <c r="R158" s="91">
        <f t="shared" si="38"/>
        <v>0</v>
      </c>
      <c r="S158" s="91">
        <f t="shared" si="38"/>
        <v>0</v>
      </c>
      <c r="T158" s="91">
        <f t="shared" si="38"/>
        <v>0</v>
      </c>
      <c r="U158" s="91">
        <f t="shared" si="38"/>
        <v>0</v>
      </c>
      <c r="V158" s="91">
        <f t="shared" si="38"/>
        <v>0</v>
      </c>
      <c r="W158" s="91">
        <f t="shared" si="38"/>
        <v>0</v>
      </c>
      <c r="X158" s="91">
        <f t="shared" si="38"/>
        <v>0</v>
      </c>
      <c r="Y158" s="91">
        <f t="shared" si="39"/>
        <v>0</v>
      </c>
      <c r="Z158" s="91">
        <f t="shared" si="39"/>
        <v>0</v>
      </c>
      <c r="AA158" s="91">
        <f t="shared" si="39"/>
        <v>0</v>
      </c>
      <c r="AB158" s="91">
        <f t="shared" si="39"/>
        <v>0</v>
      </c>
      <c r="AC158" s="91">
        <f t="shared" si="39"/>
        <v>0</v>
      </c>
      <c r="AD158" s="91">
        <f t="shared" si="39"/>
        <v>0</v>
      </c>
      <c r="AE158" s="91">
        <f t="shared" si="39"/>
        <v>0</v>
      </c>
      <c r="AF158" s="91">
        <f t="shared" si="39"/>
        <v>0</v>
      </c>
      <c r="AG158" s="91">
        <f t="shared" si="39"/>
        <v>0</v>
      </c>
      <c r="AH158" s="91">
        <f t="shared" si="39"/>
        <v>0</v>
      </c>
    </row>
    <row r="160" spans="2:34" ht="36" customHeight="1">
      <c r="B160" s="93" t="s">
        <v>79</v>
      </c>
      <c r="C160" s="92" t="s">
        <v>74</v>
      </c>
      <c r="E160" s="235" t="s">
        <v>39</v>
      </c>
      <c r="F160" s="235" t="s">
        <v>40</v>
      </c>
      <c r="G160" s="235" t="s">
        <v>41</v>
      </c>
      <c r="H160" s="235" t="s">
        <v>42</v>
      </c>
      <c r="I160" s="235" t="s">
        <v>43</v>
      </c>
      <c r="J160" s="235" t="s">
        <v>44</v>
      </c>
      <c r="K160" s="235" t="s">
        <v>80</v>
      </c>
    </row>
    <row r="161" spans="3:11">
      <c r="C161" s="67" t="s">
        <v>52</v>
      </c>
      <c r="E161" s="91">
        <f t="shared" ref="E161:E172" ca="1" si="40">INDEX($C77:$AH77,MATCH($C$160,$C$76:$AH$76,0))</f>
        <v>0.72549938250157442</v>
      </c>
      <c r="F161" s="91">
        <f t="shared" ref="F161:F172" ca="1" si="41">INDEX($C91:$AH91,MATCH($C$160,$C$76:$AH$76,0))</f>
        <v>0.95669442618805711</v>
      </c>
      <c r="G161" s="91">
        <f t="shared" ref="G161:G172" ca="1" si="42">INDEX($C105:$AH105,MATCH($C$160,$C$76:$AH$76,0))</f>
        <v>2.5906518567385168</v>
      </c>
      <c r="H161" s="91">
        <f t="shared" ref="H161:H172" ca="1" si="43">INDEX($C119:$AH119,MATCH($C$160,$C$76:$AH$76,0))</f>
        <v>0.12900535130388813</v>
      </c>
      <c r="I161" s="91">
        <f t="shared" ref="I161:I172" ca="1" si="44">INDEX($C133:$AH133,MATCH($C$160,$C$76:$AH$76,0))</f>
        <v>8.7698077538549774E-2</v>
      </c>
      <c r="J161" s="91">
        <f t="shared" ref="J161:J172" ca="1" si="45">INDEX($C147:$AH147,MATCH($C$160,$C$76:$AH$76,0))</f>
        <v>0</v>
      </c>
      <c r="K161" s="91">
        <f ca="1">SUM(E161:J161)</f>
        <v>4.4895490942705862</v>
      </c>
    </row>
    <row r="162" spans="3:11">
      <c r="C162" s="67" t="s">
        <v>54</v>
      </c>
      <c r="E162" s="91">
        <f t="shared" ca="1" si="40"/>
        <v>0.70957460101247316</v>
      </c>
      <c r="F162" s="91">
        <f t="shared" ca="1" si="41"/>
        <v>0.95669442618805711</v>
      </c>
      <c r="G162" s="91">
        <f t="shared" ca="1" si="42"/>
        <v>2.5906518567385168</v>
      </c>
      <c r="H162" s="91">
        <f t="shared" ca="1" si="43"/>
        <v>0.12900535130388813</v>
      </c>
      <c r="I162" s="91">
        <f t="shared" ca="1" si="44"/>
        <v>8.7698077538549774E-2</v>
      </c>
      <c r="J162" s="91">
        <f t="shared" ca="1" si="45"/>
        <v>0</v>
      </c>
      <c r="K162" s="91">
        <f t="shared" ref="K162:K172" ca="1" si="46">SUM(E162:J162)</f>
        <v>4.4736243127814852</v>
      </c>
    </row>
    <row r="163" spans="3:11">
      <c r="C163" s="67" t="s">
        <v>56</v>
      </c>
      <c r="E163" s="91">
        <f t="shared" ca="1" si="40"/>
        <v>0.65137464494700636</v>
      </c>
      <c r="F163" s="91">
        <f t="shared" ca="1" si="41"/>
        <v>0.95669442618805711</v>
      </c>
      <c r="G163" s="91">
        <f t="shared" ca="1" si="42"/>
        <v>2.5906518567385168</v>
      </c>
      <c r="H163" s="91">
        <f t="shared" ca="1" si="43"/>
        <v>0.12900535130388813</v>
      </c>
      <c r="I163" s="91">
        <f t="shared" ca="1" si="44"/>
        <v>8.7698077538549774E-2</v>
      </c>
      <c r="J163" s="91">
        <f t="shared" ca="1" si="45"/>
        <v>0</v>
      </c>
      <c r="K163" s="91">
        <f t="shared" ca="1" si="46"/>
        <v>4.4154243567160183</v>
      </c>
    </row>
    <row r="164" spans="3:11">
      <c r="C164" s="67" t="s">
        <v>58</v>
      </c>
      <c r="E164" s="91">
        <f t="shared" ca="1" si="40"/>
        <v>0.64027476129402638</v>
      </c>
      <c r="F164" s="91">
        <f t="shared" ca="1" si="41"/>
        <v>0</v>
      </c>
      <c r="G164" s="91">
        <f t="shared" ca="1" si="42"/>
        <v>2.5906518567385168</v>
      </c>
      <c r="H164" s="91">
        <f t="shared" ca="1" si="43"/>
        <v>0.12900535130388813</v>
      </c>
      <c r="I164" s="91">
        <f t="shared" ca="1" si="44"/>
        <v>8.7698077538549774E-2</v>
      </c>
      <c r="J164" s="91">
        <f t="shared" ca="1" si="45"/>
        <v>0</v>
      </c>
      <c r="K164" s="91">
        <f t="shared" ca="1" si="46"/>
        <v>3.447630046874981</v>
      </c>
    </row>
    <row r="165" spans="3:11">
      <c r="C165" s="67" t="s">
        <v>59</v>
      </c>
      <c r="E165" s="91">
        <f t="shared" ca="1" si="40"/>
        <v>0.66254118812582419</v>
      </c>
      <c r="F165" s="91">
        <f t="shared" ca="1" si="41"/>
        <v>0</v>
      </c>
      <c r="G165" s="91">
        <f t="shared" ca="1" si="42"/>
        <v>2.5906518567385168</v>
      </c>
      <c r="H165" s="91">
        <f t="shared" ca="1" si="43"/>
        <v>0.12900535130388813</v>
      </c>
      <c r="I165" s="91">
        <f t="shared" ca="1" si="44"/>
        <v>8.7698077538549774E-2</v>
      </c>
      <c r="J165" s="91">
        <f t="shared" ca="1" si="45"/>
        <v>0</v>
      </c>
      <c r="K165" s="91">
        <f t="shared" ca="1" si="46"/>
        <v>3.469896473706779</v>
      </c>
    </row>
    <row r="166" spans="3:11">
      <c r="C166" s="67" t="s">
        <v>60</v>
      </c>
      <c r="E166" s="91">
        <f t="shared" ca="1" si="40"/>
        <v>0.67965186967115865</v>
      </c>
      <c r="F166" s="91">
        <f t="shared" ca="1" si="41"/>
        <v>0</v>
      </c>
      <c r="G166" s="91">
        <f t="shared" ca="1" si="42"/>
        <v>2.5906518567385168</v>
      </c>
      <c r="H166" s="91">
        <f t="shared" ca="1" si="43"/>
        <v>0.12900535130388813</v>
      </c>
      <c r="I166" s="91">
        <f t="shared" ca="1" si="44"/>
        <v>8.7698077538549774E-2</v>
      </c>
      <c r="J166" s="91">
        <f t="shared" ca="1" si="45"/>
        <v>0</v>
      </c>
      <c r="K166" s="91">
        <f t="shared" ca="1" si="46"/>
        <v>3.4870071552521136</v>
      </c>
    </row>
    <row r="167" spans="3:11">
      <c r="C167" s="67" t="s">
        <v>61</v>
      </c>
      <c r="E167" s="91">
        <f t="shared" ca="1" si="40"/>
        <v>0.68502636452537857</v>
      </c>
      <c r="F167" s="91">
        <f t="shared" ca="1" si="41"/>
        <v>0</v>
      </c>
      <c r="G167" s="91">
        <f t="shared" ca="1" si="42"/>
        <v>2.5906518567385168</v>
      </c>
      <c r="H167" s="91">
        <f t="shared" ca="1" si="43"/>
        <v>0.12900535130388813</v>
      </c>
      <c r="I167" s="91">
        <f t="shared" ca="1" si="44"/>
        <v>8.7698077538549774E-2</v>
      </c>
      <c r="J167" s="91">
        <f t="shared" ca="1" si="45"/>
        <v>0</v>
      </c>
      <c r="K167" s="91">
        <f t="shared" ca="1" si="46"/>
        <v>3.4923816501063332</v>
      </c>
    </row>
    <row r="168" spans="3:11">
      <c r="C168" s="67" t="s">
        <v>62</v>
      </c>
      <c r="E168" s="91">
        <f t="shared" ca="1" si="40"/>
        <v>0.67971782445750539</v>
      </c>
      <c r="F168" s="91">
        <f t="shared" ca="1" si="41"/>
        <v>0</v>
      </c>
      <c r="G168" s="91">
        <f t="shared" ca="1" si="42"/>
        <v>2.5906518567385168</v>
      </c>
      <c r="H168" s="91">
        <f t="shared" ca="1" si="43"/>
        <v>0.12900535130388813</v>
      </c>
      <c r="I168" s="91">
        <f t="shared" ca="1" si="44"/>
        <v>8.7698077538549774E-2</v>
      </c>
      <c r="J168" s="91">
        <f t="shared" ca="1" si="45"/>
        <v>0</v>
      </c>
      <c r="K168" s="91">
        <f t="shared" ca="1" si="46"/>
        <v>3.4870731100384602</v>
      </c>
    </row>
    <row r="169" spans="3:11">
      <c r="C169" s="67" t="s">
        <v>63</v>
      </c>
      <c r="E169" s="91">
        <f t="shared" ca="1" si="40"/>
        <v>0.68926107314380269</v>
      </c>
      <c r="F169" s="91">
        <f t="shared" ca="1" si="41"/>
        <v>0</v>
      </c>
      <c r="G169" s="91">
        <f t="shared" ca="1" si="42"/>
        <v>2.5906518567385168</v>
      </c>
      <c r="H169" s="91">
        <f t="shared" ca="1" si="43"/>
        <v>0.12900535130388813</v>
      </c>
      <c r="I169" s="91">
        <f t="shared" ca="1" si="44"/>
        <v>8.7698077538549774E-2</v>
      </c>
      <c r="J169" s="91">
        <f t="shared" ca="1" si="45"/>
        <v>0</v>
      </c>
      <c r="K169" s="91">
        <f t="shared" ca="1" si="46"/>
        <v>3.4966163587247574</v>
      </c>
    </row>
    <row r="170" spans="3:11">
      <c r="C170" s="67" t="s">
        <v>64</v>
      </c>
      <c r="E170" s="91">
        <f t="shared" ca="1" si="40"/>
        <v>0.68527172512328172</v>
      </c>
      <c r="F170" s="91">
        <f t="shared" ca="1" si="41"/>
        <v>0</v>
      </c>
      <c r="G170" s="91">
        <f t="shared" ca="1" si="42"/>
        <v>2.5906518567385168</v>
      </c>
      <c r="H170" s="91">
        <f t="shared" ca="1" si="43"/>
        <v>0.12900535130388813</v>
      </c>
      <c r="I170" s="91">
        <f t="shared" ca="1" si="44"/>
        <v>8.7698077538549774E-2</v>
      </c>
      <c r="J170" s="91">
        <f t="shared" ca="1" si="45"/>
        <v>0</v>
      </c>
      <c r="K170" s="91">
        <f t="shared" ca="1" si="46"/>
        <v>3.4926270107042363</v>
      </c>
    </row>
    <row r="171" spans="3:11">
      <c r="C171" s="67" t="s">
        <v>65</v>
      </c>
      <c r="E171" s="91">
        <f t="shared" ca="1" si="40"/>
        <v>0.7191242016343028</v>
      </c>
      <c r="F171" s="91">
        <f t="shared" ca="1" si="41"/>
        <v>0.95669442618805711</v>
      </c>
      <c r="G171" s="91">
        <f t="shared" ca="1" si="42"/>
        <v>2.5906518567385168</v>
      </c>
      <c r="H171" s="91">
        <f t="shared" ca="1" si="43"/>
        <v>0.12900535130388813</v>
      </c>
      <c r="I171" s="91">
        <f t="shared" ca="1" si="44"/>
        <v>8.7698077538549774E-2</v>
      </c>
      <c r="J171" s="91">
        <f t="shared" ca="1" si="45"/>
        <v>0</v>
      </c>
      <c r="K171" s="91">
        <f t="shared" ca="1" si="46"/>
        <v>4.4831739134033146</v>
      </c>
    </row>
    <row r="172" spans="3:11">
      <c r="C172" s="68" t="s">
        <v>66</v>
      </c>
      <c r="E172" s="91">
        <f t="shared" ca="1" si="40"/>
        <v>0.7248899674710334</v>
      </c>
      <c r="F172" s="91">
        <f t="shared" ca="1" si="41"/>
        <v>0.95669442618805711</v>
      </c>
      <c r="G172" s="91">
        <f t="shared" ca="1" si="42"/>
        <v>2.5906518567385168</v>
      </c>
      <c r="H172" s="91">
        <f t="shared" ca="1" si="43"/>
        <v>0.12900535130388813</v>
      </c>
      <c r="I172" s="91">
        <f t="shared" ca="1" si="44"/>
        <v>8.7698077538549774E-2</v>
      </c>
      <c r="J172" s="91">
        <f t="shared" ca="1" si="45"/>
        <v>0</v>
      </c>
      <c r="K172" s="91">
        <f t="shared" ca="1" si="46"/>
        <v>4.4889396792400458</v>
      </c>
    </row>
    <row r="173" spans="3:11">
      <c r="E173" s="107"/>
      <c r="F173" s="107"/>
      <c r="G173" s="107"/>
      <c r="H173" s="107"/>
      <c r="I173" s="107"/>
    </row>
    <row r="174" spans="3:11">
      <c r="E174" s="107"/>
      <c r="F174" s="107"/>
      <c r="G174" s="107"/>
      <c r="H174" s="107"/>
      <c r="I174" s="107"/>
    </row>
    <row r="175" spans="3:11">
      <c r="E175" s="108"/>
      <c r="F175" s="108"/>
      <c r="G175" s="108"/>
      <c r="H175" s="108"/>
      <c r="I175" s="108"/>
    </row>
  </sheetData>
  <phoneticPr fontId="6" type="noConversion"/>
  <conditionalFormatting sqref="C22:C27">
    <cfRule type="cellIs" dxfId="2" priority="2" stopIfTrue="1" operator="equal">
      <formula>FALSE</formula>
    </cfRule>
    <cfRule type="cellIs" dxfId="1" priority="3" operator="equal">
      <formula>TRUE</formula>
    </cfRule>
  </conditionalFormatting>
  <conditionalFormatting sqref="C27">
    <cfRule type="expression" dxfId="0" priority="1">
      <formula>$C$10="TRC"</formula>
    </cfRule>
  </conditionalFormatting>
  <dataValidations count="2">
    <dataValidation type="list" allowBlank="1" showInputMessage="1" showErrorMessage="1" sqref="C22:C27" xr:uid="{00000000-0002-0000-0200-000000000000}">
      <formula1>"TRUE, FALSE"</formula1>
    </dataValidation>
    <dataValidation type="list" allowBlank="1" showInputMessage="1" showErrorMessage="1" sqref="C160" xr:uid="{175F6449-6694-45FE-A976-8CFA45CABE0F}">
      <formula1>$C$58:$AH$58</formula1>
    </dataValidation>
  </dataValidations>
  <pageMargins left="0.75" right="0.75" top="1" bottom="1" header="0.5" footer="0.5"/>
  <pageSetup orientation="portrait" r:id="rId1"/>
  <headerFooter alignWithMargins="0"/>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7F555D8-1393-4230-88AD-5CED4F75841C}">
          <x14:formula1>
            <xm:f>Lists!$B$5:$B$7</xm:f>
          </x14:formula1>
          <xm:sqref>C5</xm:sqref>
        </x14:dataValidation>
        <x14:dataValidation type="list" allowBlank="1" showInputMessage="1" showErrorMessage="1" xr:uid="{0BF8898A-BEFA-4AE8-8CB8-53EA24A193B2}">
          <x14:formula1>
            <xm:f>Lists!$C$5:$C$7</xm:f>
          </x14:formula1>
          <xm:sqref>C6</xm:sqref>
        </x14:dataValidation>
        <x14:dataValidation type="list" allowBlank="1" showInputMessage="1" showErrorMessage="1" xr:uid="{8051B1BD-A754-4911-A166-4BDC1E7945FF}">
          <x14:formula1>
            <xm:f>Lists!$D$5:$D$7</xm:f>
          </x14:formula1>
          <xm:sqref>C7</xm:sqref>
        </x14:dataValidation>
        <x14:dataValidation type="list" allowBlank="1" showInputMessage="1" showErrorMessage="1" xr:uid="{4EB40326-23D3-4AA7-9670-CECC9CF025D8}">
          <x14:formula1>
            <xm:f>Lists!$E$5:$E$7</xm:f>
          </x14:formula1>
          <xm:sqref>C8</xm:sqref>
        </x14:dataValidation>
        <x14:dataValidation type="list" allowBlank="1" showInputMessage="1" showErrorMessage="1" xr:uid="{F0893136-D059-4BAB-8FBF-C2A3645DBBBE}">
          <x14:formula1>
            <xm:f>Lists!$F$5:$F$6</xm:f>
          </x14:formula1>
          <xm:sqref>C10</xm:sqref>
        </x14:dataValidation>
        <x14:dataValidation type="list" allowBlank="1" showInputMessage="1" showErrorMessage="1" xr:uid="{E3395663-E931-449E-9CFC-72A3AB8CC3FA}">
          <x14:formula1>
            <xm:f>Lists!$G$5:$G$6</xm:f>
          </x14:formula1>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sheetPr>
  <dimension ref="A1:AM54"/>
  <sheetViews>
    <sheetView topLeftCell="A14" workbookViewId="0">
      <selection activeCell="J19" sqref="J19"/>
    </sheetView>
  </sheetViews>
  <sheetFormatPr baseColWidth="10" defaultColWidth="9.3984375" defaultRowHeight="15"/>
  <cols>
    <col min="1" max="1" width="8" style="112" customWidth="1"/>
    <col min="2" max="2" width="18.3984375" style="112" customWidth="1"/>
    <col min="3" max="3" width="53.3984375" style="112" customWidth="1"/>
    <col min="4" max="4" width="27.3984375" style="112" customWidth="1"/>
    <col min="5" max="5" width="19.3984375" style="112" customWidth="1"/>
    <col min="6" max="6" width="9.3984375" style="112"/>
    <col min="7" max="7" width="17.59765625" style="112" customWidth="1"/>
    <col min="8" max="8" width="14.3984375" style="112" customWidth="1"/>
    <col min="9" max="16384" width="9.3984375" style="112"/>
  </cols>
  <sheetData>
    <row r="1" spans="1:39">
      <c r="A1" s="192"/>
      <c r="B1" s="192"/>
      <c r="C1" s="192"/>
      <c r="D1" s="192"/>
      <c r="E1" s="192"/>
      <c r="F1" s="192"/>
      <c r="G1" s="192"/>
    </row>
    <row r="2" spans="1:39">
      <c r="A2" s="234"/>
      <c r="B2" s="234" t="s">
        <v>81</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row>
    <row r="3" spans="1:39">
      <c r="A3" s="192"/>
      <c r="B3" s="192"/>
      <c r="C3" s="192"/>
      <c r="D3" s="192"/>
      <c r="E3" s="192"/>
      <c r="F3" s="192"/>
    </row>
    <row r="4" spans="1:39">
      <c r="C4" s="111" t="s">
        <v>82</v>
      </c>
    </row>
    <row r="5" spans="1:39">
      <c r="B5" s="118" t="s">
        <v>17</v>
      </c>
      <c r="C5" s="193" t="str">
        <f>'User Dashboard'!C5</f>
        <v>PG&amp;E</v>
      </c>
    </row>
    <row r="6" spans="1:39">
      <c r="B6" s="118" t="s">
        <v>19</v>
      </c>
      <c r="C6" s="193" t="str">
        <f>'User Dashboard'!C6</f>
        <v>Residential</v>
      </c>
      <c r="D6" s="118"/>
      <c r="E6" s="194"/>
    </row>
    <row r="7" spans="1:39">
      <c r="B7" s="118" t="s">
        <v>21</v>
      </c>
      <c r="C7" s="193" t="str">
        <f>'User Dashboard'!C7</f>
        <v>Residential Furnace</v>
      </c>
    </row>
    <row r="8" spans="1:39">
      <c r="B8" s="118" t="s">
        <v>23</v>
      </c>
      <c r="C8" s="193" t="str">
        <f>'User Dashboard'!C8</f>
        <v>Uncontrolled</v>
      </c>
      <c r="D8" s="195"/>
    </row>
    <row r="9" spans="1:39">
      <c r="B9" s="118"/>
      <c r="D9" s="195"/>
    </row>
    <row r="10" spans="1:39">
      <c r="B10" s="118"/>
      <c r="C10" s="111" t="s">
        <v>83</v>
      </c>
      <c r="D10" s="195"/>
    </row>
    <row r="11" spans="1:39">
      <c r="B11" s="118" t="s">
        <v>31</v>
      </c>
      <c r="C11" s="193">
        <f>'User Dashboard'!C14</f>
        <v>2026</v>
      </c>
      <c r="D11" s="195"/>
    </row>
    <row r="12" spans="1:39">
      <c r="B12" s="118" t="s">
        <v>32</v>
      </c>
      <c r="C12" s="193">
        <f>'User Dashboard'!C15</f>
        <v>20</v>
      </c>
      <c r="D12" s="195"/>
    </row>
    <row r="13" spans="1:39">
      <c r="B13" s="118" t="s">
        <v>34</v>
      </c>
      <c r="C13" s="193">
        <f>'User Dashboard'!C16</f>
        <v>2045</v>
      </c>
      <c r="D13" s="195"/>
    </row>
    <row r="14" spans="1:39">
      <c r="B14" s="118"/>
    </row>
    <row r="15" spans="1:39">
      <c r="B15" s="118"/>
      <c r="C15" s="111" t="s">
        <v>84</v>
      </c>
      <c r="D15" s="195"/>
      <c r="H15" s="111" t="s">
        <v>85</v>
      </c>
    </row>
    <row r="16" spans="1:39" s="196" customFormat="1">
      <c r="C16" s="234" t="s">
        <v>86</v>
      </c>
      <c r="D16" s="234" t="s">
        <v>87</v>
      </c>
      <c r="H16" s="234">
        <f>'User Dashboard'!E46</f>
        <v>2026</v>
      </c>
      <c r="I16" s="234">
        <f>'User Dashboard'!F46</f>
        <v>2027</v>
      </c>
      <c r="J16" s="234">
        <f>'User Dashboard'!G46</f>
        <v>2028</v>
      </c>
      <c r="K16" s="234">
        <f>'User Dashboard'!H46</f>
        <v>2029</v>
      </c>
      <c r="L16" s="234">
        <f>'User Dashboard'!I46</f>
        <v>2030</v>
      </c>
      <c r="M16" s="234">
        <f>'User Dashboard'!J46</f>
        <v>2031</v>
      </c>
      <c r="N16" s="234">
        <f>'User Dashboard'!K46</f>
        <v>2032</v>
      </c>
      <c r="O16" s="234">
        <f>'User Dashboard'!L46</f>
        <v>2033</v>
      </c>
      <c r="P16" s="234">
        <f>'User Dashboard'!M46</f>
        <v>2034</v>
      </c>
      <c r="Q16" s="234">
        <f>'User Dashboard'!N46</f>
        <v>2035</v>
      </c>
      <c r="R16" s="234">
        <f>'User Dashboard'!O46</f>
        <v>2036</v>
      </c>
      <c r="S16" s="234">
        <f>'User Dashboard'!P46</f>
        <v>2037</v>
      </c>
      <c r="T16" s="234">
        <f>'User Dashboard'!Q46</f>
        <v>2038</v>
      </c>
      <c r="U16" s="234">
        <f>'User Dashboard'!R46</f>
        <v>2039</v>
      </c>
      <c r="V16" s="234">
        <f>'User Dashboard'!S46</f>
        <v>2040</v>
      </c>
      <c r="W16" s="234">
        <f>'User Dashboard'!T46</f>
        <v>2041</v>
      </c>
      <c r="X16" s="234">
        <f>'User Dashboard'!U46</f>
        <v>2042</v>
      </c>
      <c r="Y16" s="234">
        <f>'User Dashboard'!V46</f>
        <v>2043</v>
      </c>
      <c r="Z16" s="234">
        <f>'User Dashboard'!W46</f>
        <v>2044</v>
      </c>
      <c r="AA16" s="234">
        <f>'User Dashboard'!X46</f>
        <v>2045</v>
      </c>
      <c r="AB16" s="234">
        <f>'User Dashboard'!Y46</f>
        <v>2046</v>
      </c>
      <c r="AC16" s="234">
        <f>'User Dashboard'!Z46</f>
        <v>2047</v>
      </c>
      <c r="AD16" s="234">
        <f>'User Dashboard'!AA46</f>
        <v>2048</v>
      </c>
      <c r="AE16" s="234">
        <f>'User Dashboard'!AB46</f>
        <v>2049</v>
      </c>
      <c r="AF16" s="234">
        <f>'User Dashboard'!AC46</f>
        <v>2050</v>
      </c>
      <c r="AG16" s="234">
        <f>'User Dashboard'!AD46</f>
        <v>2051</v>
      </c>
      <c r="AH16" s="234">
        <f>'User Dashboard'!AE46</f>
        <v>2052</v>
      </c>
      <c r="AI16" s="234">
        <f>'User Dashboard'!AF46</f>
        <v>2053</v>
      </c>
      <c r="AJ16" s="234">
        <f>'User Dashboard'!AG46</f>
        <v>2054</v>
      </c>
      <c r="AK16" s="234">
        <f>'User Dashboard'!AH46</f>
        <v>2055</v>
      </c>
    </row>
    <row r="17" spans="2:37">
      <c r="B17" s="118" t="s">
        <v>52</v>
      </c>
      <c r="C17" s="239">
        <f ca="1">'User Dashboard'!C59</f>
        <v>4.4895490942705871</v>
      </c>
      <c r="D17" s="239">
        <f ca="1">AVERAGE($C$17:$C$28)</f>
        <v>3.8936619301515929</v>
      </c>
      <c r="E17" s="197"/>
      <c r="G17" s="262" t="s">
        <v>52</v>
      </c>
      <c r="H17" s="239">
        <f>'User Dashboard'!E59</f>
        <v>2.4221784030559599</v>
      </c>
      <c r="I17" s="239">
        <f>'User Dashboard'!F59</f>
        <v>3.3082485312460252</v>
      </c>
      <c r="J17" s="239">
        <f>'User Dashboard'!G59</f>
        <v>4.2164406075532117</v>
      </c>
      <c r="K17" s="239">
        <f>'User Dashboard'!H59</f>
        <v>4.4851129271052592</v>
      </c>
      <c r="L17" s="239">
        <f>'User Dashboard'!I59</f>
        <v>4.7556251673943919</v>
      </c>
      <c r="M17" s="239">
        <f>'User Dashboard'!J59</f>
        <v>5.0277863245514167</v>
      </c>
      <c r="N17" s="239">
        <f>'User Dashboard'!K59</f>
        <v>4.8984021807804465</v>
      </c>
      <c r="O17" s="239">
        <f>'User Dashboard'!L59</f>
        <v>4.7711473668552591</v>
      </c>
      <c r="P17" s="239">
        <f>'User Dashboard'!M59</f>
        <v>4.645790591270706</v>
      </c>
      <c r="Q17" s="239">
        <f>'User Dashboard'!N59</f>
        <v>4.5229400561499231</v>
      </c>
      <c r="R17" s="239">
        <f>'User Dashboard'!O59</f>
        <v>4.4019791770434793</v>
      </c>
      <c r="S17" s="239">
        <f>'User Dashboard'!P59</f>
        <v>4.533580518155941</v>
      </c>
      <c r="T17" s="239">
        <f>'User Dashboard'!Q59</f>
        <v>4.6682199828275541</v>
      </c>
      <c r="U17" s="239">
        <f>'User Dashboard'!R59</f>
        <v>4.8057463657946595</v>
      </c>
      <c r="V17" s="239">
        <f>'User Dashboard'!S59</f>
        <v>4.9463719088349327</v>
      </c>
      <c r="W17" s="239">
        <f>'User Dashboard'!T59</f>
        <v>5.0902070839169777</v>
      </c>
      <c r="X17" s="239">
        <f>'User Dashboard'!U59</f>
        <v>5.4800800407970964</v>
      </c>
      <c r="Y17" s="239">
        <f>'User Dashboard'!V59</f>
        <v>5.8734800585869156</v>
      </c>
      <c r="Z17" s="239">
        <f>'User Dashboard'!W59</f>
        <v>6.2705222840588206</v>
      </c>
      <c r="AA17" s="239">
        <f>'User Dashboard'!X59</f>
        <v>6.6715148120044523</v>
      </c>
      <c r="AB17" s="239">
        <f>'User Dashboard'!Y59</f>
        <v>6.8105621713862483</v>
      </c>
      <c r="AC17" s="239">
        <f>'User Dashboard'!Z59</f>
        <v>6.9522400154121682</v>
      </c>
      <c r="AD17" s="239">
        <f>'User Dashboard'!AA59</f>
        <v>7.0966431054862653</v>
      </c>
      <c r="AE17" s="239">
        <f>'User Dashboard'!AB59</f>
        <v>7.2437249271935364</v>
      </c>
      <c r="AF17" s="239">
        <f>'User Dashboard'!AC59</f>
        <v>7.3935119930178956</v>
      </c>
      <c r="AG17" s="239">
        <f>'User Dashboard'!AD59</f>
        <v>7.5438707001882541</v>
      </c>
      <c r="AH17" s="239">
        <f>'User Dashboard'!AE59</f>
        <v>7.6978407443782784</v>
      </c>
      <c r="AI17" s="239">
        <f>'User Dashboard'!AF59</f>
        <v>7.8541164391770257</v>
      </c>
      <c r="AJ17" s="239">
        <f>'User Dashboard'!AG59</f>
        <v>8.0128218207745849</v>
      </c>
      <c r="AK17" s="239">
        <f>'User Dashboard'!AH59</f>
        <v>8.1739238584875658</v>
      </c>
    </row>
    <row r="18" spans="2:37">
      <c r="B18" s="118" t="s">
        <v>54</v>
      </c>
      <c r="C18" s="239">
        <f ca="1">'User Dashboard'!C60</f>
        <v>4.473624312781487</v>
      </c>
      <c r="D18" s="239">
        <f t="shared" ref="D18:D28" ca="1" si="0">AVERAGE($C$17:$C$28)</f>
        <v>3.8936619301515929</v>
      </c>
      <c r="E18" s="197"/>
      <c r="G18" s="262" t="s">
        <v>54</v>
      </c>
      <c r="H18" s="239">
        <f>'User Dashboard'!E60</f>
        <v>2.4085181628809496</v>
      </c>
      <c r="I18" s="239">
        <f>'User Dashboard'!F60</f>
        <v>3.2943000824110009</v>
      </c>
      <c r="J18" s="239">
        <f>'User Dashboard'!G60</f>
        <v>4.2022253081420819</v>
      </c>
      <c r="K18" s="239">
        <f>'User Dashboard'!H60</f>
        <v>4.4706169277510863</v>
      </c>
      <c r="L18" s="239">
        <f>'User Dashboard'!I60</f>
        <v>4.7408267695370014</v>
      </c>
      <c r="M18" s="239">
        <f>'User Dashboard'!J60</f>
        <v>5.0126869904649807</v>
      </c>
      <c r="N18" s="239">
        <f>'User Dashboard'!K60</f>
        <v>4.8830079800537849</v>
      </c>
      <c r="O18" s="239">
        <f>'User Dashboard'!L60</f>
        <v>4.7554079057509906</v>
      </c>
      <c r="P18" s="239">
        <f>'User Dashboard'!M60</f>
        <v>4.629752864178446</v>
      </c>
      <c r="Q18" s="239">
        <f>'User Dashboard'!N60</f>
        <v>4.5065091267707738</v>
      </c>
      <c r="R18" s="239">
        <f>'User Dashboard'!O60</f>
        <v>4.3852131725258348</v>
      </c>
      <c r="S18" s="239">
        <f>'User Dashboard'!P60</f>
        <v>4.5164895429862559</v>
      </c>
      <c r="T18" s="239">
        <f>'User Dashboard'!Q60</f>
        <v>4.6507625949161504</v>
      </c>
      <c r="U18" s="239">
        <f>'User Dashboard'!R60</f>
        <v>4.7879106443015225</v>
      </c>
      <c r="V18" s="239">
        <f>'User Dashboard'!S60</f>
        <v>4.9281254109539985</v>
      </c>
      <c r="W18" s="239">
        <f>'User Dashboard'!T60</f>
        <v>5.0715660129834728</v>
      </c>
      <c r="X18" s="239">
        <f>'User Dashboard'!U60</f>
        <v>5.4610330736073376</v>
      </c>
      <c r="Y18" s="239">
        <f>'User Dashboard'!V60</f>
        <v>5.8540184561289657</v>
      </c>
      <c r="Z18" s="239">
        <f>'User Dashboard'!W60</f>
        <v>6.2506336332820647</v>
      </c>
      <c r="AA18" s="239">
        <f>'User Dashboard'!X60</f>
        <v>6.6511931291418209</v>
      </c>
      <c r="AB18" s="239">
        <f>'User Dashboard'!Y60</f>
        <v>6.7897935101028031</v>
      </c>
      <c r="AC18" s="239">
        <f>'User Dashboard'!Z60</f>
        <v>6.9310168502430738</v>
      </c>
      <c r="AD18" s="239">
        <f>'User Dashboard'!AA60</f>
        <v>7.0749513464146272</v>
      </c>
      <c r="AE18" s="239">
        <f>'User Dashboard'!AB60</f>
        <v>7.221555593690276</v>
      </c>
      <c r="AF18" s="239">
        <f>'User Dashboard'!AC60</f>
        <v>7.3708535281406196</v>
      </c>
      <c r="AG18" s="239">
        <f>'User Dashboard'!AD60</f>
        <v>7.5207638996870196</v>
      </c>
      <c r="AH18" s="239">
        <f>'User Dashboard'!AE60</f>
        <v>7.6742534994676408</v>
      </c>
      <c r="AI18" s="239">
        <f>'User Dashboard'!AF60</f>
        <v>7.83006399097901</v>
      </c>
      <c r="AJ18" s="239">
        <f>'User Dashboard'!AG60</f>
        <v>7.9882962480969795</v>
      </c>
      <c r="AK18" s="239">
        <f>'User Dashboard'!AH60</f>
        <v>8.1489229198808601</v>
      </c>
    </row>
    <row r="19" spans="2:37">
      <c r="B19" s="118" t="s">
        <v>56</v>
      </c>
      <c r="C19" s="239">
        <f ca="1">'User Dashboard'!C61</f>
        <v>4.4154243567160192</v>
      </c>
      <c r="D19" s="239">
        <f t="shared" ca="1" si="0"/>
        <v>3.8936619301515929</v>
      </c>
      <c r="E19" s="197"/>
      <c r="G19" s="262" t="s">
        <v>56</v>
      </c>
      <c r="H19" s="239">
        <f>'User Dashboard'!E61</f>
        <v>2.3586085170781033</v>
      </c>
      <c r="I19" s="239">
        <f>'User Dashboard'!F61</f>
        <v>3.243357970553769</v>
      </c>
      <c r="J19" s="239">
        <f>'User Dashboard'!G61</f>
        <v>4.1502678223204983</v>
      </c>
      <c r="K19" s="239">
        <f>'User Dashboard'!H61</f>
        <v>4.4176122689353976</v>
      </c>
      <c r="L19" s="239">
        <f>'User Dashboard'!I61</f>
        <v>4.6867371472271637</v>
      </c>
      <c r="M19" s="239">
        <f>'User Dashboard'!J61</f>
        <v>4.9575010746732762</v>
      </c>
      <c r="N19" s="239">
        <f>'User Dashboard'!K61</f>
        <v>4.826704809220451</v>
      </c>
      <c r="O19" s="239">
        <f>'User Dashboard'!L61</f>
        <v>4.697908073135368</v>
      </c>
      <c r="P19" s="239">
        <f>'User Dashboard'!M61</f>
        <v>4.5710809661939891</v>
      </c>
      <c r="Q19" s="239">
        <f>'User Dashboard'!N61</f>
        <v>4.4465423706792206</v>
      </c>
      <c r="R19" s="239">
        <f>'User Dashboard'!O61</f>
        <v>4.3240061497467668</v>
      </c>
      <c r="S19" s="239">
        <f>'User Dashboard'!P61</f>
        <v>4.4540169608652116</v>
      </c>
      <c r="T19" s="239">
        <f>'User Dashboard'!Q61</f>
        <v>4.5869391441525824</v>
      </c>
      <c r="U19" s="239">
        <f>'User Dashboard'!R61</f>
        <v>4.7226919605453235</v>
      </c>
      <c r="V19" s="239">
        <f>'User Dashboard'!S61</f>
        <v>4.8614516329313471</v>
      </c>
      <c r="W19" s="239">
        <f>'User Dashboard'!T61</f>
        <v>5.0034367185472153</v>
      </c>
      <c r="X19" s="239">
        <f>'User Dashboard'!U61</f>
        <v>5.3914154569205177</v>
      </c>
      <c r="Y19" s="239">
        <f>'User Dashboard'!V61</f>
        <v>5.782876953047845</v>
      </c>
      <c r="Z19" s="239">
        <f>'User Dashboard'!W61</f>
        <v>6.1779285104481128</v>
      </c>
      <c r="AA19" s="239">
        <f>'User Dashboard'!X61</f>
        <v>6.5768947456136617</v>
      </c>
      <c r="AB19" s="239">
        <f>'User Dashboard'!Y61</f>
        <v>6.7138591821297142</v>
      </c>
      <c r="AC19" s="239">
        <f>'User Dashboard'!Z61</f>
        <v>6.8534093863009415</v>
      </c>
      <c r="AD19" s="239">
        <f>'User Dashboard'!AA61</f>
        <v>6.9956248406231314</v>
      </c>
      <c r="AE19" s="239">
        <f>'User Dashboard'!AB61</f>
        <v>7.1404739795207535</v>
      </c>
      <c r="AF19" s="239">
        <f>'User Dashboard'!AC61</f>
        <v>7.2879796881046879</v>
      </c>
      <c r="AG19" s="239">
        <f>'User Dashboard'!AD61</f>
        <v>7.4362392884536579</v>
      </c>
      <c r="AH19" s="239">
        <f>'User Dashboard'!AE61</f>
        <v>7.5879734104867502</v>
      </c>
      <c r="AI19" s="239">
        <f>'User Dashboard'!AF61</f>
        <v>7.7420469982522038</v>
      </c>
      <c r="AJ19" s="239">
        <f>'User Dashboard'!AG61</f>
        <v>7.8985368556744318</v>
      </c>
      <c r="AK19" s="239">
        <f>'User Dashboard'!AH61</f>
        <v>8.0574254530560125</v>
      </c>
    </row>
    <row r="20" spans="2:37">
      <c r="B20" s="118" t="s">
        <v>58</v>
      </c>
      <c r="C20" s="239">
        <f ca="1">'User Dashboard'!C62</f>
        <v>3.4476300468749805</v>
      </c>
      <c r="D20" s="239">
        <f t="shared" ca="1" si="0"/>
        <v>3.8936619301515929</v>
      </c>
      <c r="E20" s="197"/>
      <c r="G20" s="262" t="s">
        <v>58</v>
      </c>
      <c r="H20" s="239">
        <f>'User Dashboard'!E62</f>
        <v>1.5046829444660628</v>
      </c>
      <c r="I20" s="239">
        <f>'User Dashboard'!F62</f>
        <v>2.393739089614987</v>
      </c>
      <c r="J20" s="239">
        <f>'User Dashboard'!G62</f>
        <v>3.2836675344246515</v>
      </c>
      <c r="K20" s="239">
        <f>'User Dashboard'!H62</f>
        <v>3.5336837996792232</v>
      </c>
      <c r="L20" s="239">
        <f>'User Dashboard'!I62</f>
        <v>3.785120128812014</v>
      </c>
      <c r="M20" s="239">
        <f>'User Dashboard'!J62</f>
        <v>4.0378480268353494</v>
      </c>
      <c r="N20" s="239">
        <f>'User Dashboard'!K62</f>
        <v>3.888666109080738</v>
      </c>
      <c r="O20" s="239">
        <f>'User Dashboard'!L62</f>
        <v>3.7410784662037937</v>
      </c>
      <c r="P20" s="239">
        <f>'User Dashboard'!M62</f>
        <v>3.5951313823096731</v>
      </c>
      <c r="Q20" s="239">
        <f>'User Dashboard'!N62</f>
        <v>3.4510144342337501</v>
      </c>
      <c r="R20" s="239">
        <f>'User Dashboard'!O62</f>
        <v>3.3085642260344961</v>
      </c>
      <c r="S20" s="239">
        <f>'User Dashboard'!P62</f>
        <v>3.4182783119472417</v>
      </c>
      <c r="T20" s="239">
        <f>'User Dashboard'!Q62</f>
        <v>3.5304692935877973</v>
      </c>
      <c r="U20" s="239">
        <f>'User Dashboard'!R62</f>
        <v>3.6450731179615095</v>
      </c>
      <c r="V20" s="239">
        <f>'User Dashboard'!S62</f>
        <v>3.7622398340379273</v>
      </c>
      <c r="W20" s="239">
        <f>'User Dashboard'!T62</f>
        <v>3.8822208692197795</v>
      </c>
      <c r="X20" s="239">
        <f>'User Dashboard'!U62</f>
        <v>4.2477525371933984</v>
      </c>
      <c r="Y20" s="239">
        <f>'User Dashboard'!V62</f>
        <v>4.6163178067257151</v>
      </c>
      <c r="Z20" s="239">
        <f>'User Dashboard'!W62</f>
        <v>4.9880119822495175</v>
      </c>
      <c r="AA20" s="239">
        <f>'User Dashboard'!X62</f>
        <v>5.3631559472863461</v>
      </c>
      <c r="AB20" s="239">
        <f>'User Dashboard'!Y62</f>
        <v>5.4758174585559392</v>
      </c>
      <c r="AC20" s="239">
        <f>'User Dashboard'!Z62</f>
        <v>5.5905802607111541</v>
      </c>
      <c r="AD20" s="239">
        <f>'User Dashboard'!AA62</f>
        <v>5.7075087194575742</v>
      </c>
      <c r="AE20" s="239">
        <f>'User Dashboard'!AB62</f>
        <v>5.8265655883019338</v>
      </c>
      <c r="AF20" s="239">
        <f>'User Dashboard'!AC62</f>
        <v>5.9477614550332802</v>
      </c>
      <c r="AG20" s="239">
        <f>'User Dashboard'!AD62</f>
        <v>6.0692207375276119</v>
      </c>
      <c r="AH20" s="239">
        <f>'User Dashboard'!AE62</f>
        <v>6.193601608160451</v>
      </c>
      <c r="AI20" s="239">
        <f>'User Dashboard'!AF62</f>
        <v>6.3197944964783659</v>
      </c>
      <c r="AJ20" s="239">
        <f>'User Dashboard'!AG62</f>
        <v>6.4478455088214632</v>
      </c>
      <c r="AK20" s="239">
        <f>'User Dashboard'!AH62</f>
        <v>6.5777307270850134</v>
      </c>
    </row>
    <row r="21" spans="2:37">
      <c r="B21" s="118" t="s">
        <v>59</v>
      </c>
      <c r="C21" s="239">
        <f ca="1">'User Dashboard'!C63</f>
        <v>3.4698964737067786</v>
      </c>
      <c r="D21" s="239">
        <f t="shared" ca="1" si="0"/>
        <v>3.8936619301515929</v>
      </c>
      <c r="E21" s="197"/>
      <c r="G21" s="262" t="s">
        <v>59</v>
      </c>
      <c r="H21" s="239">
        <f>'User Dashboard'!E63</f>
        <v>1.5237708604073545</v>
      </c>
      <c r="I21" s="239">
        <f>'User Dashboard'!F63</f>
        <v>2.4132120419954286</v>
      </c>
      <c r="J21" s="239">
        <f>'User Dashboard'!G63</f>
        <v>3.3035481431841252</v>
      </c>
      <c r="K21" s="239">
        <f>'User Dashboard'!H63</f>
        <v>3.5539752310902895</v>
      </c>
      <c r="L21" s="239">
        <f>'User Dashboard'!I63</f>
        <v>3.8058169866036855</v>
      </c>
      <c r="M21" s="239">
        <f>'User Dashboard'!J63</f>
        <v>4.0589626208262901</v>
      </c>
      <c r="N21" s="239">
        <f>'User Dashboard'!K63</f>
        <v>3.9102270943425377</v>
      </c>
      <c r="O21" s="239">
        <f>'User Dashboard'!L63</f>
        <v>3.7630661135322119</v>
      </c>
      <c r="P21" s="239">
        <f>'User Dashboard'!M63</f>
        <v>3.6176066638683868</v>
      </c>
      <c r="Q21" s="239">
        <f>'User Dashboard'!N63</f>
        <v>3.4739171100337893</v>
      </c>
      <c r="R21" s="239">
        <f>'User Dashboard'!O63</f>
        <v>3.331948906352673</v>
      </c>
      <c r="S21" s="239">
        <f>'User Dashboard'!P63</f>
        <v>3.4421844334477107</v>
      </c>
      <c r="T21" s="239">
        <f>'User Dashboard'!Q63</f>
        <v>3.5548978560320923</v>
      </c>
      <c r="U21" s="239">
        <f>'User Dashboard'!R63</f>
        <v>3.6700414759275053</v>
      </c>
      <c r="V21" s="239">
        <f>'User Dashboard'!S63</f>
        <v>3.7877428104615474</v>
      </c>
      <c r="W21" s="239">
        <f>'User Dashboard'!T63</f>
        <v>3.9082871511226136</v>
      </c>
      <c r="X21" s="239">
        <f>'User Dashboard'!U63</f>
        <v>4.2743905733476169</v>
      </c>
      <c r="Y21" s="239">
        <f>'User Dashboard'!V63</f>
        <v>4.6435429376666031</v>
      </c>
      <c r="Z21" s="239">
        <f>'User Dashboard'!W63</f>
        <v>5.0158367154424663</v>
      </c>
      <c r="AA21" s="239">
        <f>'User Dashboard'!X63</f>
        <v>5.3915953403041472</v>
      </c>
      <c r="AB21" s="239">
        <f>'User Dashboard'!Y63</f>
        <v>5.5048838785969911</v>
      </c>
      <c r="AC21" s="239">
        <f>'User Dashboard'!Z63</f>
        <v>5.6202925705815883</v>
      </c>
      <c r="AD21" s="239">
        <f>'User Dashboard'!AA63</f>
        <v>5.7378818090616601</v>
      </c>
      <c r="AE21" s="239">
        <f>'User Dashboard'!AB63</f>
        <v>5.857614808493004</v>
      </c>
      <c r="AF21" s="239">
        <f>'User Dashboard'!AC63</f>
        <v>5.9794985578155933</v>
      </c>
      <c r="AG21" s="239">
        <f>'User Dashboard'!AD63</f>
        <v>6.1015952589663307</v>
      </c>
      <c r="AH21" s="239">
        <f>'User Dashboard'!AE63</f>
        <v>6.2266475614165913</v>
      </c>
      <c r="AI21" s="239">
        <f>'User Dashboard'!AF63</f>
        <v>6.3535225332302785</v>
      </c>
      <c r="AJ21" s="239">
        <f>'User Dashboard'!AG63</f>
        <v>6.4822465140874943</v>
      </c>
      <c r="AK21" s="239">
        <f>'User Dashboard'!AH63</f>
        <v>6.6127970592333556</v>
      </c>
    </row>
    <row r="22" spans="2:37">
      <c r="B22" s="118" t="s">
        <v>60</v>
      </c>
      <c r="C22" s="239">
        <f ca="1">'User Dashboard'!C64</f>
        <v>3.4870071552521127</v>
      </c>
      <c r="D22" s="239">
        <f t="shared" ca="1" si="0"/>
        <v>3.8936619301515929</v>
      </c>
      <c r="E22" s="197"/>
      <c r="G22" s="262" t="s">
        <v>60</v>
      </c>
      <c r="H22" s="239">
        <f>'User Dashboard'!E64</f>
        <v>1.538437680992488</v>
      </c>
      <c r="I22" s="239">
        <f>'User Dashboard'!F64</f>
        <v>2.4281727873982315</v>
      </c>
      <c r="J22" s="239">
        <f>'User Dashboard'!G64</f>
        <v>3.3188259202888819</v>
      </c>
      <c r="K22" s="239">
        <f>'User Dashboard'!H64</f>
        <v>3.569570706224158</v>
      </c>
      <c r="L22" s="239">
        <f>'User Dashboard'!I64</f>
        <v>3.8217221151671219</v>
      </c>
      <c r="M22" s="239">
        <f>'User Dashboard'!J64</f>
        <v>4.0751884280109332</v>
      </c>
      <c r="N22" s="239">
        <f>'User Dashboard'!K64</f>
        <v>3.9267996513766872</v>
      </c>
      <c r="O22" s="239">
        <f>'User Dashboard'!L64</f>
        <v>3.7799604220171781</v>
      </c>
      <c r="P22" s="239">
        <f>'User Dashboard'!M64</f>
        <v>3.634883395523659</v>
      </c>
      <c r="Q22" s="239">
        <f>'User Dashboard'!N64</f>
        <v>3.4915089240519759</v>
      </c>
      <c r="R22" s="239">
        <f>'User Dashboard'!O64</f>
        <v>3.3499125895845383</v>
      </c>
      <c r="S22" s="239">
        <f>'User Dashboard'!P64</f>
        <v>3.4605561336048143</v>
      </c>
      <c r="T22" s="239">
        <f>'User Dashboard'!Q64</f>
        <v>3.5736721301241614</v>
      </c>
      <c r="U22" s="239">
        <f>'User Dashboard'!R64</f>
        <v>3.6892317350013868</v>
      </c>
      <c r="V22" s="239">
        <f>'User Dashboard'!S64</f>
        <v>3.8073395636792999</v>
      </c>
      <c r="W22" s="239">
        <f>'User Dashboard'!T64</f>
        <v>3.9283180432406732</v>
      </c>
      <c r="X22" s="239">
        <f>'User Dashboard'!U64</f>
        <v>4.2948612914853781</v>
      </c>
      <c r="Y22" s="239">
        <f>'User Dashboard'!V64</f>
        <v>4.6644656107555296</v>
      </c>
      <c r="Z22" s="239">
        <f>'User Dashboard'!W64</f>
        <v>5.037220425997341</v>
      </c>
      <c r="AA22" s="239">
        <f>'User Dashboard'!X64</f>
        <v>5.4134523891502297</v>
      </c>
      <c r="AB22" s="239">
        <f>'User Dashboard'!Y64</f>
        <v>5.5272229913209756</v>
      </c>
      <c r="AC22" s="239">
        <f>'User Dashboard'!Z64</f>
        <v>5.6431291520751019</v>
      </c>
      <c r="AD22" s="239">
        <f>'User Dashboard'!AA64</f>
        <v>5.7612267767375629</v>
      </c>
      <c r="AE22" s="239">
        <f>'User Dashboard'!AB64</f>
        <v>5.8814802635034837</v>
      </c>
      <c r="AF22" s="239">
        <f>'User Dashboard'!AC64</f>
        <v>6.0038930503034571</v>
      </c>
      <c r="AG22" s="239">
        <f>'User Dashboard'!AD64</f>
        <v>6.1264807272701374</v>
      </c>
      <c r="AH22" s="239">
        <f>'User Dashboard'!AE64</f>
        <v>6.2520489560658659</v>
      </c>
      <c r="AI22" s="239">
        <f>'User Dashboard'!AF64</f>
        <v>6.3794515257593547</v>
      </c>
      <c r="AJ22" s="239">
        <f>'User Dashboard'!AG64</f>
        <v>6.5086938978105664</v>
      </c>
      <c r="AK22" s="239">
        <f>'User Dashboard'!AH64</f>
        <v>6.6397557865807739</v>
      </c>
    </row>
    <row r="23" spans="2:37">
      <c r="B23" s="118" t="s">
        <v>61</v>
      </c>
      <c r="C23" s="239">
        <f ca="1">'User Dashboard'!C65</f>
        <v>3.4923816501063336</v>
      </c>
      <c r="D23" s="239">
        <f t="shared" ca="1" si="0"/>
        <v>3.8936619301515929</v>
      </c>
      <c r="E23" s="197"/>
      <c r="G23" s="262" t="s">
        <v>61</v>
      </c>
      <c r="H23" s="239">
        <f>'User Dashboard'!E65</f>
        <v>1.5430411806039837</v>
      </c>
      <c r="I23" s="239">
        <f>'User Dashboard'!F65</f>
        <v>2.4328636352261461</v>
      </c>
      <c r="J23" s="239">
        <f>'User Dashboard'!G65</f>
        <v>3.3236259225581035</v>
      </c>
      <c r="K23" s="239">
        <f>'User Dashboard'!H65</f>
        <v>3.5744755820940775</v>
      </c>
      <c r="L23" s="239">
        <f>'User Dashboard'!I65</f>
        <v>3.8267194319165285</v>
      </c>
      <c r="M23" s="239">
        <f>'User Dashboard'!J65</f>
        <v>4.0802856276938488</v>
      </c>
      <c r="N23" s="239">
        <f>'User Dashboard'!K65</f>
        <v>3.9320152186463417</v>
      </c>
      <c r="O23" s="239">
        <f>'User Dashboard'!L65</f>
        <v>3.7852615040141342</v>
      </c>
      <c r="P23" s="239">
        <f>'User Dashboard'!M65</f>
        <v>3.6403241651121587</v>
      </c>
      <c r="Q23" s="239">
        <f>'User Dashboard'!N65</f>
        <v>3.4970147349376761</v>
      </c>
      <c r="R23" s="239">
        <f>'User Dashboard'!O65</f>
        <v>3.3555389457833686</v>
      </c>
      <c r="S23" s="239">
        <f>'User Dashboard'!P65</f>
        <v>3.4663292373238654</v>
      </c>
      <c r="T23" s="239">
        <f>'User Dashboard'!Q65</f>
        <v>3.5795744864669214</v>
      </c>
      <c r="U23" s="239">
        <f>'User Dashboard'!R65</f>
        <v>3.6952677467150452</v>
      </c>
      <c r="V23" s="239">
        <f>'User Dashboard'!S65</f>
        <v>3.8134922402205533</v>
      </c>
      <c r="W23" s="239">
        <f>'User Dashboard'!T65</f>
        <v>3.9346103000660353</v>
      </c>
      <c r="X23" s="239">
        <f>'User Dashboard'!U65</f>
        <v>4.3012928682012213</v>
      </c>
      <c r="Y23" s="239">
        <f>'User Dashboard'!V65</f>
        <v>4.6710411823367082</v>
      </c>
      <c r="Z23" s="239">
        <f>'User Dashboard'!W65</f>
        <v>5.0439415012046087</v>
      </c>
      <c r="AA23" s="239">
        <f>'User Dashboard'!X65</f>
        <v>5.4203246864082715</v>
      </c>
      <c r="AB23" s="239">
        <f>'User Dashboard'!Y65</f>
        <v>5.534247274117357</v>
      </c>
      <c r="AC23" s="239">
        <f>'User Dashboard'!Z65</f>
        <v>5.6503125710921145</v>
      </c>
      <c r="AD23" s="239">
        <f>'User Dashboard'!AA65</f>
        <v>5.7685714275207118</v>
      </c>
      <c r="AE23" s="239">
        <f>'User Dashboard'!AB65</f>
        <v>5.8889907215535766</v>
      </c>
      <c r="AF23" s="239">
        <f>'User Dashboard'!AC65</f>
        <v>6.0115707795650959</v>
      </c>
      <c r="AG23" s="239">
        <f>'User Dashboard'!AD65</f>
        <v>6.1343155958389719</v>
      </c>
      <c r="AH23" s="239">
        <f>'User Dashboard'!AE65</f>
        <v>6.2600457844310862</v>
      </c>
      <c r="AI23" s="239">
        <f>'User Dashboard'!AF65</f>
        <v>6.3876228398474773</v>
      </c>
      <c r="AJ23" s="239">
        <f>'User Dashboard'!AG65</f>
        <v>6.5170312089812974</v>
      </c>
      <c r="AK23" s="239">
        <f>'User Dashboard'!AH65</f>
        <v>6.6482538941756513</v>
      </c>
    </row>
    <row r="24" spans="2:37">
      <c r="B24" s="118" t="s">
        <v>62</v>
      </c>
      <c r="C24" s="239">
        <f ca="1">'User Dashboard'!C66</f>
        <v>3.4870731100384607</v>
      </c>
      <c r="D24" s="239">
        <f t="shared" ca="1" si="0"/>
        <v>3.8936619301515929</v>
      </c>
      <c r="E24" s="197"/>
      <c r="G24" s="262" t="s">
        <v>62</v>
      </c>
      <c r="H24" s="239">
        <f>'User Dashboard'!E66</f>
        <v>1.5384846155250527</v>
      </c>
      <c r="I24" s="239">
        <f>'User Dashboard'!F66</f>
        <v>2.4282067030742414</v>
      </c>
      <c r="J24" s="239">
        <f>'User Dashboard'!G66</f>
        <v>3.318888297761545</v>
      </c>
      <c r="K24" s="239">
        <f>'User Dashboard'!H66</f>
        <v>3.569648773122239</v>
      </c>
      <c r="L24" s="239">
        <f>'User Dashboard'!I66</f>
        <v>3.8217876570861322</v>
      </c>
      <c r="M24" s="239">
        <f>'User Dashboard'!J66</f>
        <v>4.0752528082142438</v>
      </c>
      <c r="N24" s="239">
        <f>'User Dashboard'!K66</f>
        <v>3.9268922625985185</v>
      </c>
      <c r="O24" s="239">
        <f>'User Dashboard'!L66</f>
        <v>3.7800100377559778</v>
      </c>
      <c r="P24" s="239">
        <f>'User Dashboard'!M66</f>
        <v>3.6349901579656714</v>
      </c>
      <c r="Q24" s="239">
        <f>'User Dashboard'!N66</f>
        <v>3.4915203759544271</v>
      </c>
      <c r="R24" s="239">
        <f>'User Dashboard'!O66</f>
        <v>3.3499361171669548</v>
      </c>
      <c r="S24" s="239">
        <f>'User Dashboard'!P66</f>
        <v>3.4606341208537308</v>
      </c>
      <c r="T24" s="239">
        <f>'User Dashboard'!Q66</f>
        <v>3.5737596452643356</v>
      </c>
      <c r="U24" s="239">
        <f>'User Dashboard'!R66</f>
        <v>3.6893293711918407</v>
      </c>
      <c r="V24" s="239">
        <f>'User Dashboard'!S66</f>
        <v>3.8074074258620696</v>
      </c>
      <c r="W24" s="239">
        <f>'User Dashboard'!T66</f>
        <v>3.9283967301582217</v>
      </c>
      <c r="X24" s="239">
        <f>'User Dashboard'!U66</f>
        <v>4.294945001888582</v>
      </c>
      <c r="Y24" s="239">
        <f>'User Dashboard'!V66</f>
        <v>4.6645568531482695</v>
      </c>
      <c r="Z24" s="239">
        <f>'User Dashboard'!W66</f>
        <v>5.0373154113502876</v>
      </c>
      <c r="AA24" s="239">
        <f>'User Dashboard'!X66</f>
        <v>5.4135564417482964</v>
      </c>
      <c r="AB24" s="239">
        <f>'User Dashboard'!Y66</f>
        <v>5.5273305193434448</v>
      </c>
      <c r="AC24" s="239">
        <f>'User Dashboard'!Z66</f>
        <v>5.6432467927420724</v>
      </c>
      <c r="AD24" s="239">
        <f>'User Dashboard'!AA66</f>
        <v>5.7613507777956787</v>
      </c>
      <c r="AE24" s="239">
        <f>'User Dashboard'!AB66</f>
        <v>5.8816128751597727</v>
      </c>
      <c r="AF24" s="239">
        <f>'User Dashboard'!AC66</f>
        <v>6.0040308297262825</v>
      </c>
      <c r="AG24" s="239">
        <f>'User Dashboard'!AD66</f>
        <v>6.1266287153254293</v>
      </c>
      <c r="AH24" s="239">
        <f>'User Dashboard'!AE66</f>
        <v>6.2521986666016875</v>
      </c>
      <c r="AI24" s="239">
        <f>'User Dashboard'!AF66</f>
        <v>6.3796282111124931</v>
      </c>
      <c r="AJ24" s="239">
        <f>'User Dashboard'!AG66</f>
        <v>6.5088815989551012</v>
      </c>
      <c r="AK24" s="239">
        <f>'User Dashboard'!AH66</f>
        <v>6.6399459779870726</v>
      </c>
    </row>
    <row r="25" spans="2:37">
      <c r="B25" s="118" t="s">
        <v>63</v>
      </c>
      <c r="C25" s="239">
        <f ca="1">'User Dashboard'!C67</f>
        <v>3.496616358724757</v>
      </c>
      <c r="D25" s="239">
        <f t="shared" ca="1" si="0"/>
        <v>3.8936619301515929</v>
      </c>
      <c r="E25" s="197"/>
      <c r="G25" s="262" t="s">
        <v>63</v>
      </c>
      <c r="H25" s="239">
        <f>'User Dashboard'!E67</f>
        <v>1.5466624354273517</v>
      </c>
      <c r="I25" s="239" t="s">
        <v>433</v>
      </c>
      <c r="J25" s="239">
        <f>'User Dashboard'!G67</f>
        <v>3.3274101405359984</v>
      </c>
      <c r="K25" s="239">
        <f>'User Dashboard'!H67</f>
        <v>3.5783514218897965</v>
      </c>
      <c r="L25" s="239">
        <f>'User Dashboard'!I67</f>
        <v>3.8306595830236048</v>
      </c>
      <c r="M25" s="239">
        <f>'User Dashboard'!J67</f>
        <v>4.0843029891401068</v>
      </c>
      <c r="N25" s="239">
        <f>'User Dashboard'!K67</f>
        <v>3.9361425585036067</v>
      </c>
      <c r="O25" s="239">
        <f>'User Dashboard'!L67</f>
        <v>3.7894287331577776</v>
      </c>
      <c r="P25" s="239">
        <f>'User Dashboard'!M67</f>
        <v>3.644636055327056</v>
      </c>
      <c r="Q25" s="239">
        <f>'User Dashboard'!N67</f>
        <v>3.5013178879163012</v>
      </c>
      <c r="R25" s="239">
        <f>'User Dashboard'!O67</f>
        <v>3.3599436932352842</v>
      </c>
      <c r="S25" s="239">
        <f>'User Dashboard'!P67</f>
        <v>3.4708824774006701</v>
      </c>
      <c r="T25" s="239">
        <f>'User Dashboard'!Q67</f>
        <v>3.5842345248791005</v>
      </c>
      <c r="U25" s="239">
        <f>'User Dashboard'!R67</f>
        <v>3.7000383889958202</v>
      </c>
      <c r="V25" s="239">
        <f>'User Dashboard'!S67</f>
        <v>3.8183353292131841</v>
      </c>
      <c r="W25" s="239">
        <f>'User Dashboard'!T67</f>
        <v>3.9395690551402498</v>
      </c>
      <c r="X25" s="239">
        <f>'User Dashboard'!U67</f>
        <v>4.3063634654052603</v>
      </c>
      <c r="Y25" s="239">
        <f>'User Dashboard'!V67</f>
        <v>4.676228835052072</v>
      </c>
      <c r="Z25" s="239">
        <f>'User Dashboard'!W67</f>
        <v>5.0492450217943645</v>
      </c>
      <c r="AA25" s="239">
        <f>'User Dashboard'!X67</f>
        <v>5.4257518598574679</v>
      </c>
      <c r="AB25" s="239">
        <f>'User Dashboard'!Y67</f>
        <v>5.5397952060875255</v>
      </c>
      <c r="AC25" s="239">
        <f>'User Dashboard'!Z67</f>
        <v>5.6559909835640214</v>
      </c>
      <c r="AD25" s="239">
        <f>'User Dashboard'!AA67</f>
        <v>5.7743796136597574</v>
      </c>
      <c r="AE25" s="239">
        <f>'User Dashboard'!AB67</f>
        <v>5.894933655912233</v>
      </c>
      <c r="AF25" s="239">
        <f>'User Dashboard'!AC67</f>
        <v>6.0176474556126811</v>
      </c>
      <c r="AG25" s="239">
        <f>'User Dashboard'!AD67</f>
        <v>6.1405212541712508</v>
      </c>
      <c r="AH25" s="239">
        <f>'User Dashboard'!AE67</f>
        <v>6.2663788897965684</v>
      </c>
      <c r="AI25" s="239">
        <f>'User Dashboard'!AF67</f>
        <v>6.3941089267412234</v>
      </c>
      <c r="AJ25" s="239">
        <f>'User Dashboard'!AG67</f>
        <v>6.5236536933720872</v>
      </c>
      <c r="AK25" s="239">
        <f>'User Dashboard'!AH67</f>
        <v>6.6550033970588567</v>
      </c>
    </row>
    <row r="26" spans="2:37">
      <c r="B26" s="118" t="s">
        <v>64</v>
      </c>
      <c r="C26" s="239">
        <f ca="1">'User Dashboard'!C68</f>
        <v>3.4926270107042363</v>
      </c>
      <c r="D26" s="239">
        <f t="shared" ca="1" si="0"/>
        <v>3.8936619301515929</v>
      </c>
      <c r="E26" s="197"/>
      <c r="G26" s="262" t="s">
        <v>64</v>
      </c>
      <c r="H26" s="239">
        <f>'User Dashboard'!E68</f>
        <v>1.5432370144935863</v>
      </c>
      <c r="I26" s="239">
        <f>'User Dashboard'!F68</f>
        <v>2.4330423346152057</v>
      </c>
      <c r="J26" s="239">
        <f>'User Dashboard'!G68</f>
        <v>3.3238502616575363</v>
      </c>
      <c r="K26" s="239">
        <f>'User Dashboard'!H68</f>
        <v>3.574726298332557</v>
      </c>
      <c r="L26" s="239">
        <f>'User Dashboard'!I68</f>
        <v>3.8269538927926816</v>
      </c>
      <c r="M26" s="239">
        <f>'User Dashboard'!J68</f>
        <v>4.0805210696808754</v>
      </c>
      <c r="N26" s="239">
        <f>'User Dashboard'!K68</f>
        <v>3.9322962055302808</v>
      </c>
      <c r="O26" s="239">
        <f>'User Dashboard'!L68</f>
        <v>3.7854803712168947</v>
      </c>
      <c r="P26" s="239">
        <f>'User Dashboard'!M68</f>
        <v>3.6406325031806142</v>
      </c>
      <c r="Q26" s="239">
        <f>'User Dashboard'!N68</f>
        <v>3.4971819745843895</v>
      </c>
      <c r="R26" s="239">
        <f>'User Dashboard'!O68</f>
        <v>3.3557275727030231</v>
      </c>
      <c r="S26" s="239">
        <f>'User Dashboard'!P68</f>
        <v>3.4666034996536146</v>
      </c>
      <c r="T26" s="239">
        <f>'User Dashboard'!Q68</f>
        <v>3.5798665542509611</v>
      </c>
      <c r="U26" s="239">
        <f>'User Dashboard'!R68</f>
        <v>3.6955786291102233</v>
      </c>
      <c r="V26" s="239">
        <f>'User Dashboard'!S68</f>
        <v>3.8137616710981508</v>
      </c>
      <c r="W26" s="239">
        <f>'User Dashboard'!T68</f>
        <v>3.9348997618802302</v>
      </c>
      <c r="X26" s="239">
        <f>'User Dashboard'!U68</f>
        <v>4.3015936577351921</v>
      </c>
      <c r="Y26" s="239">
        <f>'User Dashboard'!V68</f>
        <v>4.6713571872848618</v>
      </c>
      <c r="Z26" s="239">
        <f>'User Dashboard'!W68</f>
        <v>5.0442670829060701</v>
      </c>
      <c r="AA26" s="239">
        <f>'User Dashboard'!X68</f>
        <v>5.4206679818774681</v>
      </c>
      <c r="AB26" s="239">
        <f>'User Dashboard'!Y68</f>
        <v>5.5345999219805035</v>
      </c>
      <c r="AC26" s="239">
        <f>'User Dashboard'!Z68</f>
        <v>5.6506847155034476</v>
      </c>
      <c r="AD26" s="239">
        <f>'User Dashboard'!AA68</f>
        <v>5.768957500940961</v>
      </c>
      <c r="AE26" s="239">
        <f>'User Dashboard'!AB68</f>
        <v>5.8893942217766959</v>
      </c>
      <c r="AF26" s="239">
        <f>'User Dashboard'!AC68</f>
        <v>6.0119865856617762</v>
      </c>
      <c r="AG26" s="239">
        <f>'User Dashboard'!AD68</f>
        <v>6.1347509879402455</v>
      </c>
      <c r="AH26" s="239">
        <f>'User Dashboard'!AE68</f>
        <v>6.2604881731199509</v>
      </c>
      <c r="AI26" s="239">
        <f>'User Dashboard'!AF68</f>
        <v>6.3881104200024552</v>
      </c>
      <c r="AJ26" s="239">
        <f>'User Dashboard'!AG68</f>
        <v>6.5175398265170337</v>
      </c>
      <c r="AK26" s="239">
        <f>'User Dashboard'!AH68</f>
        <v>6.6487706274989344</v>
      </c>
    </row>
    <row r="27" spans="2:37">
      <c r="B27" s="118" t="s">
        <v>65</v>
      </c>
      <c r="C27" s="239">
        <f ca="1">'User Dashboard'!C69</f>
        <v>4.4831739134033146</v>
      </c>
      <c r="D27" s="239">
        <f t="shared" ca="1" si="0"/>
        <v>3.8936619301515929</v>
      </c>
      <c r="E27" s="197"/>
      <c r="G27" s="262" t="s">
        <v>65</v>
      </c>
      <c r="H27" s="239">
        <f>'User Dashboard'!E69</f>
        <v>2.416660923873132</v>
      </c>
      <c r="I27" s="239">
        <f>'User Dashboard'!F69</f>
        <v>3.3025436416508156</v>
      </c>
      <c r="J27" s="239">
        <f>'User Dashboard'!G69</f>
        <v>4.2107675376430196</v>
      </c>
      <c r="K27" s="239">
        <f>'User Dashboard'!H69</f>
        <v>4.4794011091494808</v>
      </c>
      <c r="L27" s="239">
        <f>'User Dashboard'!I69</f>
        <v>4.7497224636019348</v>
      </c>
      <c r="M27" s="239">
        <f>'User Dashboard'!J69</f>
        <v>5.0217509420908693</v>
      </c>
      <c r="N27" s="239">
        <f>'User Dashboard'!K69</f>
        <v>4.8923856446112781</v>
      </c>
      <c r="O27" s="239">
        <f>'User Dashboard'!L69</f>
        <v>4.7647674561789506</v>
      </c>
      <c r="P27" s="239">
        <f>'User Dashboard'!M69</f>
        <v>4.6395746446057711</v>
      </c>
      <c r="Q27" s="239">
        <f>'User Dashboard'!N69</f>
        <v>4.516075393822736</v>
      </c>
      <c r="R27" s="239">
        <f>'User Dashboard'!O69</f>
        <v>4.3950345421178225</v>
      </c>
      <c r="S27" s="239">
        <f>'User Dashboard'!P69</f>
        <v>4.5267749776046973</v>
      </c>
      <c r="T27" s="239">
        <f>'User Dashboard'!Q69</f>
        <v>4.6613083538184865</v>
      </c>
      <c r="U27" s="239">
        <f>'User Dashboard'!R69</f>
        <v>4.7987266320599939</v>
      </c>
      <c r="V27" s="239">
        <f>'User Dashboard'!S69</f>
        <v>4.9390282061307689</v>
      </c>
      <c r="W27" s="239">
        <f>'User Dashboard'!T69</f>
        <v>5.0827520008509097</v>
      </c>
      <c r="X27" s="239">
        <f>'User Dashboard'!U69</f>
        <v>5.4724794048773209</v>
      </c>
      <c r="Y27" s="239">
        <f>'User Dashboard'!V69</f>
        <v>5.8657429014333751</v>
      </c>
      <c r="Z27" s="239">
        <f>'User Dashboard'!W69</f>
        <v>6.2626241722989704</v>
      </c>
      <c r="AA27" s="239">
        <f>'User Dashboard'!X69</f>
        <v>6.663480208991257</v>
      </c>
      <c r="AB27" s="239">
        <f>'User Dashboard'!Y69</f>
        <v>6.8023568608676666</v>
      </c>
      <c r="AC27" s="239">
        <f>'User Dashboard'!Z69</f>
        <v>6.9438944653846804</v>
      </c>
      <c r="AD27" s="239">
        <f>'User Dashboard'!AA69</f>
        <v>7.0881323624227974</v>
      </c>
      <c r="AE27" s="239">
        <f>'User Dashboard'!AB69</f>
        <v>7.2350566118623556</v>
      </c>
      <c r="AF27" s="239">
        <f>'User Dashboard'!AC69</f>
        <v>7.3846637873359269</v>
      </c>
      <c r="AG27" s="239">
        <f>'User Dashboard'!AD69</f>
        <v>7.5348853403026439</v>
      </c>
      <c r="AH27" s="239">
        <f>'User Dashboard'!AE69</f>
        <v>7.6886616928114426</v>
      </c>
      <c r="AI27" s="239">
        <f>'User Dashboard'!AF69</f>
        <v>7.8448781007662705</v>
      </c>
      <c r="AJ27" s="239">
        <f>'User Dashboard'!AG69</f>
        <v>8.0034399749120606</v>
      </c>
      <c r="AK27" s="239">
        <f>'User Dashboard'!AH69</f>
        <v>8.1643543518710331</v>
      </c>
    </row>
    <row r="28" spans="2:37">
      <c r="B28" s="118" t="s">
        <v>66</v>
      </c>
      <c r="C28" s="239">
        <f ca="1">'User Dashboard'!C70</f>
        <v>4.4889396792400467</v>
      </c>
      <c r="D28" s="239">
        <f t="shared" ca="1" si="0"/>
        <v>3.8936619301515929</v>
      </c>
      <c r="E28" s="197"/>
      <c r="G28" s="262" t="s">
        <v>66</v>
      </c>
      <c r="H28" s="239">
        <f>'User Dashboard'!E70</f>
        <v>2.4215994282364779</v>
      </c>
      <c r="I28" s="239">
        <f>'User Dashboard'!F70</f>
        <v>3.307575651846824</v>
      </c>
      <c r="J28" s="239">
        <f>'User Dashboard'!G70</f>
        <v>4.2159170366563261</v>
      </c>
      <c r="K28" s="239">
        <f>'User Dashboard'!H70</f>
        <v>4.4846633226288466</v>
      </c>
      <c r="L28" s="239">
        <f>'User Dashboard'!I70</f>
        <v>4.755083652497837</v>
      </c>
      <c r="M28" s="239">
        <f>'User Dashboard'!J70</f>
        <v>5.0272192514077831</v>
      </c>
      <c r="N28" s="239">
        <f>'User Dashboard'!K70</f>
        <v>4.8979813217052248</v>
      </c>
      <c r="O28" s="239">
        <f>'User Dashboard'!L70</f>
        <v>4.7704542438728437</v>
      </c>
      <c r="P28" s="239">
        <f>'User Dashboard'!M70</f>
        <v>4.6454120818839897</v>
      </c>
      <c r="Q28" s="239">
        <f>'User Dashboard'!N70</f>
        <v>4.5219812334039426</v>
      </c>
      <c r="R28" s="239">
        <f>'User Dashboard'!O70</f>
        <v>4.4010698543843656</v>
      </c>
      <c r="S28" s="239">
        <f>'User Dashboard'!P70</f>
        <v>4.5329684737011959</v>
      </c>
      <c r="T28" s="239">
        <f>'User Dashboard'!Q70</f>
        <v>4.6676406258614636</v>
      </c>
      <c r="U28" s="239">
        <f>'User Dashboard'!R70</f>
        <v>4.8052024110310798</v>
      </c>
      <c r="V28" s="239">
        <f>'User Dashboard'!S70</f>
        <v>4.9456286971402728</v>
      </c>
      <c r="W28" s="239">
        <f>'User Dashboard'!T70</f>
        <v>5.0895023640652024</v>
      </c>
      <c r="X28" s="239">
        <f>'User Dashboard'!U70</f>
        <v>5.4793792780492669</v>
      </c>
      <c r="Y28" s="239">
        <f>'User Dashboard'!V70</f>
        <v>5.8727973349273199</v>
      </c>
      <c r="Z28" s="239">
        <f>'User Dashboard'!W70</f>
        <v>6.2698347302780464</v>
      </c>
      <c r="AA28" s="239">
        <f>'User Dashboard'!X70</f>
        <v>6.6708531013092651</v>
      </c>
      <c r="AB28" s="239">
        <f>'User Dashboard'!Y70</f>
        <v>6.8098928265133098</v>
      </c>
      <c r="AC28" s="239">
        <f>'User Dashboard'!Z70</f>
        <v>6.9516012692599132</v>
      </c>
      <c r="AD28" s="239">
        <f>'User Dashboard'!AA70</f>
        <v>7.0960121986171236</v>
      </c>
      <c r="AE28" s="239">
        <f>'User Dashboard'!AB70</f>
        <v>7.2431144203487277</v>
      </c>
      <c r="AF28" s="239">
        <f>'User Dashboard'!AC70</f>
        <v>7.3929010891561964</v>
      </c>
      <c r="AG28" s="239">
        <f>'User Dashboard'!AD70</f>
        <v>7.5432913397836234</v>
      </c>
      <c r="AH28" s="239">
        <f>'User Dashboard'!AE70</f>
        <v>7.6972414392061097</v>
      </c>
      <c r="AI28" s="239">
        <f>'User Dashboard'!AF70</f>
        <v>7.8536453907490307</v>
      </c>
      <c r="AJ28" s="239">
        <f>'User Dashboard'!AG70</f>
        <v>8.0123854751758365</v>
      </c>
      <c r="AK28" s="239">
        <f>'User Dashboard'!AH70</f>
        <v>8.173472362162391</v>
      </c>
    </row>
    <row r="29" spans="2:37">
      <c r="C29" s="194"/>
      <c r="G29" s="263" t="s">
        <v>87</v>
      </c>
      <c r="H29" s="250">
        <f t="shared" ref="H29:AK29" si="1">AVERAGE(H17:H28)</f>
        <v>1.8971568472533751</v>
      </c>
      <c r="I29" s="250">
        <f t="shared" si="1"/>
        <v>2.8168420426938794</v>
      </c>
      <c r="J29" s="250">
        <f t="shared" si="1"/>
        <v>3.6829528777271654</v>
      </c>
      <c r="K29" s="250">
        <f t="shared" si="1"/>
        <v>3.9409865306668679</v>
      </c>
      <c r="L29" s="250">
        <f t="shared" si="1"/>
        <v>4.2005645829716745</v>
      </c>
      <c r="M29" s="250">
        <f t="shared" si="1"/>
        <v>4.4616088461324983</v>
      </c>
      <c r="N29" s="250">
        <f t="shared" si="1"/>
        <v>4.3209600863708246</v>
      </c>
      <c r="O29" s="250">
        <f t="shared" si="1"/>
        <v>4.1819975578076143</v>
      </c>
      <c r="P29" s="250">
        <f t="shared" si="1"/>
        <v>4.044984622618343</v>
      </c>
      <c r="Q29" s="250">
        <f t="shared" si="1"/>
        <v>3.9097936352115759</v>
      </c>
      <c r="R29" s="250">
        <f t="shared" si="1"/>
        <v>3.7765729122232172</v>
      </c>
      <c r="S29" s="250">
        <f t="shared" si="1"/>
        <v>3.8957748906287453</v>
      </c>
      <c r="T29" s="250">
        <f t="shared" si="1"/>
        <v>4.017612099348467</v>
      </c>
      <c r="U29" s="250">
        <f t="shared" si="1"/>
        <v>4.1420698732196595</v>
      </c>
      <c r="V29" s="250">
        <f t="shared" si="1"/>
        <v>4.2692437275470043</v>
      </c>
      <c r="W29" s="250">
        <f t="shared" si="1"/>
        <v>4.3994805075992982</v>
      </c>
      <c r="X29" s="250">
        <f t="shared" si="1"/>
        <v>4.7754655541256819</v>
      </c>
      <c r="Y29" s="250">
        <f t="shared" si="1"/>
        <v>5.1547021764245153</v>
      </c>
      <c r="Z29" s="250">
        <f t="shared" si="1"/>
        <v>5.5372817892758883</v>
      </c>
      <c r="AA29" s="250">
        <f t="shared" si="1"/>
        <v>5.9235367203077232</v>
      </c>
      <c r="AB29" s="250">
        <f t="shared" si="1"/>
        <v>6.0475301500835386</v>
      </c>
      <c r="AC29" s="250">
        <f t="shared" si="1"/>
        <v>6.1738665860725241</v>
      </c>
      <c r="AD29" s="250">
        <f t="shared" si="1"/>
        <v>6.3026033732281528</v>
      </c>
      <c r="AE29" s="250">
        <f t="shared" si="1"/>
        <v>6.4337098056096957</v>
      </c>
      <c r="AF29" s="250">
        <f t="shared" si="1"/>
        <v>6.5671915666227916</v>
      </c>
      <c r="AG29" s="250">
        <f t="shared" si="1"/>
        <v>6.7010469871212637</v>
      </c>
      <c r="AH29" s="250">
        <f t="shared" si="1"/>
        <v>6.8381150354952007</v>
      </c>
      <c r="AI29" s="250">
        <f t="shared" si="1"/>
        <v>6.9772491560912648</v>
      </c>
      <c r="AJ29" s="250">
        <f t="shared" si="1"/>
        <v>7.1184477185982438</v>
      </c>
      <c r="AK29" s="250">
        <f t="shared" si="1"/>
        <v>7.2616963679231263</v>
      </c>
    </row>
    <row r="30" spans="2:37">
      <c r="C30" s="194"/>
    </row>
    <row r="31" spans="2:37" ht="16" thickBot="1">
      <c r="B31" s="246" t="str">
        <f>C15&amp;": "&amp;C5&amp;", "&amp;C6&amp;", "&amp;C7&amp;", "&amp;C8</f>
        <v>Levelized Gas Avoided Costs: PG&amp;E, Residential, Residential Furnace, Uncontrolled</v>
      </c>
      <c r="C31" s="249"/>
      <c r="D31" s="246"/>
      <c r="E31" s="246"/>
      <c r="G31" s="246" t="str">
        <f>H15&amp;": "&amp;C5&amp;", "&amp;C6&amp;", "&amp;C7&amp;", "&amp;C8</f>
        <v>Monthly Gas Avoided Costs: PG&amp;E, Residential, Residential Furnace, Uncontrolled</v>
      </c>
      <c r="H31" s="246"/>
      <c r="I31" s="246"/>
      <c r="J31" s="246"/>
      <c r="K31" s="246"/>
      <c r="L31" s="246"/>
      <c r="M31" s="246"/>
      <c r="N31" s="246"/>
      <c r="O31" s="246"/>
      <c r="P31" s="246"/>
      <c r="Q31" s="246"/>
      <c r="S31" s="246" t="str">
        <f>G29&amp;" Gas Avoided Costs: "&amp;C5&amp;", "&amp;C6&amp;", "&amp;C7&amp;", "&amp;C8</f>
        <v>Annual Average Gas Avoided Costs: PG&amp;E, Residential, Residential Furnace, Uncontrolled</v>
      </c>
      <c r="T31" s="246"/>
      <c r="U31" s="246"/>
      <c r="V31" s="246"/>
      <c r="W31" s="246"/>
      <c r="X31" s="246"/>
      <c r="Y31" s="246"/>
      <c r="Z31" s="246"/>
      <c r="AA31" s="246"/>
      <c r="AB31" s="246"/>
      <c r="AC31" s="246"/>
      <c r="AD31" s="246"/>
    </row>
    <row r="32" spans="2:37">
      <c r="C32" s="194"/>
    </row>
    <row r="33" spans="3:3">
      <c r="C33" s="194"/>
    </row>
    <row r="34" spans="3:3">
      <c r="C34" s="194"/>
    </row>
    <row r="35" spans="3:3">
      <c r="C35" s="194"/>
    </row>
    <row r="36" spans="3:3">
      <c r="C36" s="194"/>
    </row>
    <row r="37" spans="3:3">
      <c r="C37" s="194"/>
    </row>
    <row r="38" spans="3:3">
      <c r="C38" s="194"/>
    </row>
    <row r="54" spans="2:2">
      <c r="B54" s="198"/>
    </row>
  </sheetData>
  <phoneticPr fontId="6"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5"/>
  </sheetPr>
  <dimension ref="A2:AH232"/>
  <sheetViews>
    <sheetView workbookViewId="0">
      <selection activeCell="C5" sqref="C5"/>
    </sheetView>
  </sheetViews>
  <sheetFormatPr baseColWidth="10" defaultColWidth="9.3984375" defaultRowHeight="15"/>
  <cols>
    <col min="1" max="1" width="8" style="112" customWidth="1"/>
    <col min="2" max="2" width="49" style="112" bestFit="1" customWidth="1"/>
    <col min="3" max="19" width="9.59765625" style="112" customWidth="1"/>
    <col min="20" max="20" width="11.3984375" style="112" customWidth="1"/>
    <col min="21" max="22" width="9.59765625" style="112" customWidth="1"/>
    <col min="23" max="16384" width="9.3984375" style="112"/>
  </cols>
  <sheetData>
    <row r="2" spans="1:34" s="111" customFormat="1">
      <c r="A2" s="234"/>
      <c r="B2" s="234" t="s">
        <v>88</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row>
    <row r="3" spans="1:34">
      <c r="A3" s="182"/>
      <c r="C3" s="183"/>
      <c r="D3" s="183"/>
      <c r="E3" s="183"/>
      <c r="F3" s="183"/>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4"/>
    </row>
    <row r="4" spans="1:34">
      <c r="B4" s="185" t="s">
        <v>89</v>
      </c>
      <c r="C4" s="234">
        <f>'User Dashboard'!E$46</f>
        <v>2026</v>
      </c>
      <c r="D4" s="234">
        <f>'User Dashboard'!F$46</f>
        <v>2027</v>
      </c>
      <c r="E4" s="234">
        <f>'User Dashboard'!G$46</f>
        <v>2028</v>
      </c>
      <c r="F4" s="234">
        <f>'User Dashboard'!H$46</f>
        <v>2029</v>
      </c>
      <c r="G4" s="234">
        <f>'User Dashboard'!I$46</f>
        <v>2030</v>
      </c>
      <c r="H4" s="234">
        <f>'User Dashboard'!J$46</f>
        <v>2031</v>
      </c>
      <c r="I4" s="234">
        <f>'User Dashboard'!K$46</f>
        <v>2032</v>
      </c>
      <c r="J4" s="234">
        <f>'User Dashboard'!L$46</f>
        <v>2033</v>
      </c>
      <c r="K4" s="234">
        <f>'User Dashboard'!M$46</f>
        <v>2034</v>
      </c>
      <c r="L4" s="234">
        <f>'User Dashboard'!N$46</f>
        <v>2035</v>
      </c>
      <c r="M4" s="234">
        <f>'User Dashboard'!O$46</f>
        <v>2036</v>
      </c>
      <c r="N4" s="234">
        <f>'User Dashboard'!P$46</f>
        <v>2037</v>
      </c>
      <c r="O4" s="234">
        <f>'User Dashboard'!Q$46</f>
        <v>2038</v>
      </c>
      <c r="P4" s="234">
        <f>'User Dashboard'!R$46</f>
        <v>2039</v>
      </c>
      <c r="Q4" s="234">
        <f>'User Dashboard'!S$46</f>
        <v>2040</v>
      </c>
      <c r="R4" s="234">
        <f>'User Dashboard'!T$46</f>
        <v>2041</v>
      </c>
      <c r="S4" s="234">
        <f>'User Dashboard'!U$46</f>
        <v>2042</v>
      </c>
      <c r="T4" s="234">
        <f>'User Dashboard'!V$46</f>
        <v>2043</v>
      </c>
      <c r="U4" s="234">
        <f>'User Dashboard'!W$46</f>
        <v>2044</v>
      </c>
      <c r="V4" s="234">
        <f>'User Dashboard'!X$46</f>
        <v>2045</v>
      </c>
      <c r="W4" s="234">
        <f>'User Dashboard'!Y$46</f>
        <v>2046</v>
      </c>
      <c r="X4" s="234">
        <f>'User Dashboard'!Z$46</f>
        <v>2047</v>
      </c>
      <c r="Y4" s="234">
        <f>'User Dashboard'!AA$46</f>
        <v>2048</v>
      </c>
      <c r="Z4" s="234">
        <f>'User Dashboard'!AB$46</f>
        <v>2049</v>
      </c>
      <c r="AA4" s="234">
        <f>'User Dashboard'!AC$46</f>
        <v>2050</v>
      </c>
      <c r="AB4" s="234">
        <f>'User Dashboard'!AD$46</f>
        <v>2051</v>
      </c>
      <c r="AC4" s="234">
        <f>'User Dashboard'!AE$46</f>
        <v>2052</v>
      </c>
      <c r="AD4" s="234">
        <f>'User Dashboard'!AF$46</f>
        <v>2053</v>
      </c>
      <c r="AE4" s="234">
        <f>'User Dashboard'!AG$46</f>
        <v>2054</v>
      </c>
      <c r="AF4" s="234">
        <f>'User Dashboard'!AH$46</f>
        <v>2055</v>
      </c>
    </row>
    <row r="5" spans="1:34">
      <c r="A5" s="120"/>
      <c r="B5" s="186">
        <v>36526</v>
      </c>
      <c r="C5" s="244">
        <f>'IEPR Gas Prices Nominal'!T6</f>
        <v>6.0746325526661664</v>
      </c>
      <c r="D5" s="244">
        <f>'IEPR Gas Prices Nominal'!U6</f>
        <v>6.1995546322925463</v>
      </c>
      <c r="E5" s="244">
        <f>'IEPR Gas Prices Nominal'!V6</f>
        <v>6.3245974535768141</v>
      </c>
      <c r="F5" s="244">
        <f>'IEPR Gas Prices Nominal'!W6</f>
        <v>6.4528315606249516</v>
      </c>
      <c r="G5" s="244">
        <f>'IEPR Gas Prices Nominal'!X6</f>
        <v>6.5841668175389119</v>
      </c>
      <c r="H5" s="244">
        <f>'IEPR Gas Prices Nominal'!Y6</f>
        <v>6.7174832403603171</v>
      </c>
      <c r="I5" s="244">
        <f>'IEPR Gas Prices Nominal'!Z6</f>
        <v>6.854908949297239</v>
      </c>
      <c r="J5" s="244">
        <f>'IEPR Gas Prices Nominal'!AA6</f>
        <v>6.9982175105484439</v>
      </c>
      <c r="K5" s="244">
        <f>'IEPR Gas Prices Nominal'!AB6</f>
        <v>7.1438453349741584</v>
      </c>
      <c r="L5" s="244">
        <f>'IEPR Gas Prices Nominal'!AC6</f>
        <v>7.2963258389387429</v>
      </c>
      <c r="M5" s="244">
        <f>'IEPR Gas Prices Nominal'!AD6</f>
        <v>7.447860569300417</v>
      </c>
      <c r="N5" s="244">
        <f>'IEPR Gas Prices Nominal'!AE6</f>
        <v>7.6047205989429711</v>
      </c>
      <c r="O5" s="244">
        <f>'IEPR Gas Prices Nominal'!AF6</f>
        <v>7.7695763240344142</v>
      </c>
      <c r="P5" s="244">
        <f>'IEPR Gas Prices Nominal'!AG6</f>
        <v>7.9398609987164273</v>
      </c>
      <c r="Q5" s="244">
        <f>'IEPR Gas Prices Nominal'!AH6</f>
        <v>8.1153124497460052</v>
      </c>
      <c r="R5" s="244">
        <f>'IEPR Gas Prices Nominal'!AI6</f>
        <v>8.2929686938937266</v>
      </c>
      <c r="S5" s="244">
        <f>'IEPR Gas Prices Nominal'!AJ6</f>
        <v>8.4743084761135705</v>
      </c>
      <c r="T5" s="244">
        <f>'IEPR Gas Prices Nominal'!AK6</f>
        <v>8.6601081444052994</v>
      </c>
      <c r="U5" s="244">
        <f>'IEPR Gas Prices Nominal'!AL6</f>
        <v>8.8505409037752969</v>
      </c>
      <c r="V5" s="244">
        <f>'IEPR Gas Prices Nominal'!AM6</f>
        <v>9.0448622706454742</v>
      </c>
      <c r="W5" s="244">
        <f>'IEPR Gas Prices Nominal'!AN6</f>
        <v>9.244080057879609</v>
      </c>
      <c r="X5" s="244">
        <f>'IEPR Gas Prices Nominal'!AO6</f>
        <v>9.4481747175645889</v>
      </c>
      <c r="Y5" s="244">
        <f>'IEPR Gas Prices Nominal'!AP6</f>
        <v>9.6576553847587192</v>
      </c>
      <c r="Z5" s="244">
        <f>'IEPR Gas Prices Nominal'!AQ6</f>
        <v>9.871643358989509</v>
      </c>
      <c r="AA5" s="244">
        <f>'IEPR Gas Prices Nominal'!AR6</f>
        <v>10.089964533407306</v>
      </c>
      <c r="AB5" s="244">
        <f>'IEPR Gas Prices Nominal'!AS6</f>
        <v>10.291343325619673</v>
      </c>
      <c r="AC5" s="244">
        <f>'IEPR Gas Prices Nominal'!AT6</f>
        <v>10.505010879650797</v>
      </c>
      <c r="AD5" s="244">
        <f>'IEPR Gas Prices Nominal'!AU6</f>
        <v>10.717758101570547</v>
      </c>
      <c r="AE5" s="244">
        <f>'IEPR Gas Prices Nominal'!AV6</f>
        <v>10.930327478964935</v>
      </c>
      <c r="AF5" s="244">
        <f>'IEPR Gas Prices Nominal'!AW6</f>
        <v>11.14191841930864</v>
      </c>
    </row>
    <row r="6" spans="1:34">
      <c r="B6" s="186">
        <v>36557</v>
      </c>
      <c r="C6" s="244">
        <f>'IEPR Gas Prices Nominal'!T7</f>
        <v>5.9412447958552077</v>
      </c>
      <c r="D6" s="244">
        <f>'IEPR Gas Prices Nominal'!U7</f>
        <v>6.0633526126164945</v>
      </c>
      <c r="E6" s="244">
        <f>'IEPR Gas Prices Nominal'!V7</f>
        <v>6.1857897257071714</v>
      </c>
      <c r="F6" s="244">
        <f>'IEPR Gas Prices Nominal'!W7</f>
        <v>6.3112828900442191</v>
      </c>
      <c r="G6" s="244">
        <f>'IEPR Gas Prices Nominal'!X7</f>
        <v>6.4396653249367164</v>
      </c>
      <c r="H6" s="244">
        <f>'IEPR Gas Prices Nominal'!Y7</f>
        <v>6.5700432043634791</v>
      </c>
      <c r="I6" s="244">
        <f>'IEPR Gas Prices Nominal'!Z7</f>
        <v>6.7045896374462375</v>
      </c>
      <c r="J6" s="244">
        <f>'IEPR Gas Prices Nominal'!AA7</f>
        <v>6.8445268445561744</v>
      </c>
      <c r="K6" s="244">
        <f>'IEPR Gas Prices Nominal'!AB7</f>
        <v>6.9872421996137462</v>
      </c>
      <c r="L6" s="244">
        <f>'IEPR Gas Prices Nominal'!AC7</f>
        <v>7.1358832124457292</v>
      </c>
      <c r="M6" s="244">
        <f>'IEPR Gas Prices Nominal'!AD7</f>
        <v>7.2841460441793942</v>
      </c>
      <c r="N6" s="244">
        <f>'IEPR Gas Prices Nominal'!AE7</f>
        <v>7.4378328421840081</v>
      </c>
      <c r="O6" s="244">
        <f>'IEPR Gas Prices Nominal'!AF7</f>
        <v>7.5991106672489117</v>
      </c>
      <c r="P6" s="244">
        <f>'IEPR Gas Prices Nominal'!AG7</f>
        <v>7.7657010388185954</v>
      </c>
      <c r="Q6" s="244">
        <f>'IEPR Gas Prices Nominal'!AH7</f>
        <v>7.937141393394735</v>
      </c>
      <c r="R6" s="244">
        <f>'IEPR Gas Prices Nominal'!AI7</f>
        <v>8.110944761333382</v>
      </c>
      <c r="S6" s="244">
        <f>'IEPR Gas Prices Nominal'!AJ7</f>
        <v>8.2883210999807755</v>
      </c>
      <c r="T6" s="244">
        <f>'IEPR Gas Prices Nominal'!AK7</f>
        <v>8.4700719911199709</v>
      </c>
      <c r="U6" s="244">
        <f>'IEPR Gas Prices Nominal'!AL7</f>
        <v>8.6563347639768828</v>
      </c>
      <c r="V6" s="244">
        <f>'IEPR Gas Prices Nominal'!AM7</f>
        <v>8.846427714814677</v>
      </c>
      <c r="W6" s="244">
        <f>'IEPR Gas Prices Nominal'!AN7</f>
        <v>9.0412809046382705</v>
      </c>
      <c r="X6" s="244">
        <f>'IEPR Gas Prices Nominal'!AO7</f>
        <v>9.2409374832213107</v>
      </c>
      <c r="Y6" s="244">
        <f>'IEPR Gas Prices Nominal'!AP7</f>
        <v>9.4458424849282405</v>
      </c>
      <c r="Z6" s="244">
        <f>'IEPR Gas Prices Nominal'!AQ7</f>
        <v>9.6551671017562217</v>
      </c>
      <c r="AA6" s="244">
        <f>'IEPR Gas Prices Nominal'!AR7</f>
        <v>9.8687120690261327</v>
      </c>
      <c r="AB6" s="244">
        <f>'IEPR Gas Prices Nominal'!AS7</f>
        <v>10.065713011185197</v>
      </c>
      <c r="AC6" s="244">
        <f>'IEPR Gas Prices Nominal'!AT7</f>
        <v>10.274689183423503</v>
      </c>
      <c r="AD6" s="244">
        <f>'IEPR Gas Prices Nominal'!AU7</f>
        <v>10.482893848099055</v>
      </c>
      <c r="AE6" s="244">
        <f>'IEPR Gas Prices Nominal'!AV7</f>
        <v>10.690843320410048</v>
      </c>
      <c r="AF6" s="244">
        <f>'IEPR Gas Prices Nominal'!AW7</f>
        <v>10.897792468652392</v>
      </c>
    </row>
    <row r="7" spans="1:34">
      <c r="B7" s="186">
        <v>36586</v>
      </c>
      <c r="C7" s="244">
        <f>'IEPR Gas Prices Nominal'!T8</f>
        <v>5.4538935039613818</v>
      </c>
      <c r="D7" s="244">
        <f>'IEPR Gas Prices Nominal'!U8</f>
        <v>5.5659196289505273</v>
      </c>
      <c r="E7" s="244">
        <f>'IEPR Gas Prices Nominal'!V8</f>
        <v>5.6784419489120976</v>
      </c>
      <c r="F7" s="244">
        <f>'IEPR Gas Prices Nominal'!W8</f>
        <v>5.7937098130430611</v>
      </c>
      <c r="G7" s="244">
        <f>'IEPR Gas Prices Nominal'!X8</f>
        <v>5.911497935913796</v>
      </c>
      <c r="H7" s="244">
        <f>'IEPR Gas Prices Nominal'!Y8</f>
        <v>6.0311708697115485</v>
      </c>
      <c r="I7" s="244">
        <f>'IEPR Gas Prices Nominal'!Z8</f>
        <v>6.154807674421785</v>
      </c>
      <c r="J7" s="244">
        <f>'IEPR Gas Prices Nominal'!AA8</f>
        <v>6.2830598724282245</v>
      </c>
      <c r="K7" s="244">
        <f>'IEPR Gas Prices Nominal'!AB8</f>
        <v>6.4143303942777647</v>
      </c>
      <c r="L7" s="244">
        <f>'IEPR Gas Prices Nominal'!AC8</f>
        <v>6.5503275431599901</v>
      </c>
      <c r="M7" s="244">
        <f>'IEPR Gas Prices Nominal'!AD8</f>
        <v>6.6864795782183721</v>
      </c>
      <c r="N7" s="244">
        <f>'IEPR Gas Prices Nominal'!AE8</f>
        <v>6.8278086050875926</v>
      </c>
      <c r="O7" s="244">
        <f>'IEPR Gas Prices Nominal'!AF8</f>
        <v>6.9758956417282745</v>
      </c>
      <c r="P7" s="244">
        <f>'IEPR Gas Prices Nominal'!AG8</f>
        <v>7.1288620215722434</v>
      </c>
      <c r="Q7" s="244">
        <f>'IEPR Gas Prices Nominal'!AH8</f>
        <v>7.2860938587530812</v>
      </c>
      <c r="R7" s="244">
        <f>'IEPR Gas Prices Nominal'!AI8</f>
        <v>7.4456845871681923</v>
      </c>
      <c r="S7" s="244">
        <f>'IEPR Gas Prices Nominal'!AJ8</f>
        <v>7.6085279480735375</v>
      </c>
      <c r="T7" s="244">
        <f>'IEPR Gas Prices Nominal'!AK8</f>
        <v>7.775398589292803</v>
      </c>
      <c r="U7" s="244">
        <f>'IEPR Gas Prices Nominal'!AL8</f>
        <v>7.9463931290393566</v>
      </c>
      <c r="V7" s="244">
        <f>'IEPR Gas Prices Nominal'!AM8</f>
        <v>8.1209284127137167</v>
      </c>
      <c r="W7" s="244">
        <f>'IEPR Gas Prices Nominal'!AN8</f>
        <v>8.2998071425731492</v>
      </c>
      <c r="X7" s="244">
        <f>'IEPR Gas Prices Nominal'!AO8</f>
        <v>8.4831260981794916</v>
      </c>
      <c r="Y7" s="244">
        <f>'IEPR Gas Prices Nominal'!AP8</f>
        <v>8.6712452210722191</v>
      </c>
      <c r="Z7" s="244">
        <f>'IEPR Gas Prices Nominal'!AQ8</f>
        <v>8.8634317812843673</v>
      </c>
      <c r="AA7" s="244">
        <f>'IEPR Gas Prices Nominal'!AR8</f>
        <v>9.0594762518605059</v>
      </c>
      <c r="AB7" s="244">
        <f>'IEPR Gas Prices Nominal'!AS8</f>
        <v>9.2403579556890403</v>
      </c>
      <c r="AC7" s="244">
        <f>'IEPR Gas Prices Nominal'!AT8</f>
        <v>9.4321924645396908</v>
      </c>
      <c r="AD7" s="244">
        <f>'IEPR Gas Prices Nominal'!AU8</f>
        <v>9.6234368348502866</v>
      </c>
      <c r="AE7" s="244">
        <f>'IEPR Gas Prices Nominal'!AV8</f>
        <v>9.8143723466521422</v>
      </c>
      <c r="AF7" s="244">
        <f>'IEPR Gas Prices Nominal'!AW8</f>
        <v>10.004349769454585</v>
      </c>
    </row>
    <row r="8" spans="1:34">
      <c r="B8" s="186">
        <v>36617</v>
      </c>
      <c r="C8" s="244">
        <f>'IEPR Gas Prices Nominal'!T9</f>
        <v>5.3609110960499597</v>
      </c>
      <c r="D8" s="244">
        <f>'IEPR Gas Prices Nominal'!U9</f>
        <v>5.4709630405380132</v>
      </c>
      <c r="E8" s="244">
        <f>'IEPR Gas Prices Nominal'!V9</f>
        <v>5.5816933536381912</v>
      </c>
      <c r="F8" s="244">
        <f>'IEPR Gas Prices Nominal'!W9</f>
        <v>5.6950635898495063</v>
      </c>
      <c r="G8" s="244">
        <f>'IEPR Gas Prices Nominal'!X9</f>
        <v>5.8107813390438645</v>
      </c>
      <c r="H8" s="244">
        <f>'IEPR Gas Prices Nominal'!Y9</f>
        <v>5.9284039184994404</v>
      </c>
      <c r="I8" s="244">
        <f>'IEPR Gas Prices Nominal'!Z9</f>
        <v>6.0500577272669007</v>
      </c>
      <c r="J8" s="244">
        <f>'IEPR Gas Prices Nominal'!AA9</f>
        <v>6.1759206895460688</v>
      </c>
      <c r="K8" s="244">
        <f>'IEPR Gas Prices Nominal'!AB9</f>
        <v>6.305210669568738</v>
      </c>
      <c r="L8" s="244">
        <f>'IEPR Gas Prices Nominal'!AC9</f>
        <v>6.438445784434581</v>
      </c>
      <c r="M8" s="244">
        <f>'IEPR Gas Prices Nominal'!AD9</f>
        <v>6.5723267057725065</v>
      </c>
      <c r="N8" s="244">
        <f>'IEPR Gas Prices Nominal'!AE9</f>
        <v>6.7114909572799677</v>
      </c>
      <c r="O8" s="244">
        <f>'IEPR Gas Prices Nominal'!AF9</f>
        <v>6.8570912204151808</v>
      </c>
      <c r="P8" s="244">
        <f>'IEPR Gas Prices Nominal'!AG9</f>
        <v>7.0074901730209271</v>
      </c>
      <c r="Q8" s="244">
        <f>'IEPR Gas Prices Nominal'!AH9</f>
        <v>7.1618983281577044</v>
      </c>
      <c r="R8" s="244">
        <f>'IEPR Gas Prices Nominal'!AI9</f>
        <v>7.3188116643072831</v>
      </c>
      <c r="S8" s="244">
        <f>'IEPR Gas Prices Nominal'!AJ9</f>
        <v>7.4788953871525008</v>
      </c>
      <c r="T8" s="244">
        <f>'IEPR Gas Prices Nominal'!AK9</f>
        <v>7.6429491002226833</v>
      </c>
      <c r="U8" s="244">
        <f>'IEPR Gas Prices Nominal'!AL9</f>
        <v>7.8110388260493409</v>
      </c>
      <c r="V8" s="244">
        <f>'IEPR Gas Prices Nominal'!AM9</f>
        <v>7.9826332616802249</v>
      </c>
      <c r="W8" s="244">
        <f>'IEPR Gas Prices Nominal'!AN9</f>
        <v>8.1584712200499698</v>
      </c>
      <c r="X8" s="244">
        <f>'IEPR Gas Prices Nominal'!AO9</f>
        <v>8.3387040338630385</v>
      </c>
      <c r="Y8" s="244">
        <f>'IEPR Gas Prices Nominal'!AP9</f>
        <v>8.5236377418928893</v>
      </c>
      <c r="Z8" s="244">
        <f>'IEPR Gas Prices Nominal'!AQ9</f>
        <v>8.7125797237552014</v>
      </c>
      <c r="AA8" s="244">
        <f>'IEPR Gas Prices Nominal'!AR9</f>
        <v>8.9052978667027549</v>
      </c>
      <c r="AB8" s="244">
        <f>'IEPR Gas Prices Nominal'!AS9</f>
        <v>9.0831355185667331</v>
      </c>
      <c r="AC8" s="244">
        <f>'IEPR Gas Prices Nominal'!AT9</f>
        <v>9.2716998059795817</v>
      </c>
      <c r="AD8" s="244">
        <f>'IEPR Gas Prices Nominal'!AU9</f>
        <v>9.4598001037945583</v>
      </c>
      <c r="AE8" s="244">
        <f>'IEPR Gas Prices Nominal'!AV9</f>
        <v>9.6475234703351944</v>
      </c>
      <c r="AF8" s="244">
        <f>'IEPR Gas Prices Nominal'!AW9</f>
        <v>9.8342659351311497</v>
      </c>
    </row>
    <row r="9" spans="1:34">
      <c r="B9" s="186">
        <v>36647</v>
      </c>
      <c r="C9" s="244">
        <f>'IEPR Gas Prices Nominal'!T10</f>
        <v>5.5472983232864763</v>
      </c>
      <c r="D9" s="244">
        <f>'IEPR Gas Prices Nominal'!U10</f>
        <v>5.6611100220870982</v>
      </c>
      <c r="E9" s="244">
        <f>'IEPR Gas Prices Nominal'!V10</f>
        <v>5.7758209657803041</v>
      </c>
      <c r="F9" s="244">
        <f>'IEPR Gas Prices Nominal'!W10</f>
        <v>5.8932027501958233</v>
      </c>
      <c r="G9" s="244">
        <f>'IEPR Gas Prices Nominal'!X10</f>
        <v>6.0128793547813091</v>
      </c>
      <c r="H9" s="244">
        <f>'IEPR Gas Prices Nominal'!Y10</f>
        <v>6.1345809909624949</v>
      </c>
      <c r="I9" s="244">
        <f>'IEPR Gas Prices Nominal'!Z10</f>
        <v>6.2605936638141131</v>
      </c>
      <c r="J9" s="244">
        <f>'IEPR Gas Prices Nominal'!AA10</f>
        <v>6.3906228409806749</v>
      </c>
      <c r="K9" s="244">
        <f>'IEPR Gas Prices Nominal'!AB10</f>
        <v>6.5246744090347448</v>
      </c>
      <c r="L9" s="244">
        <f>'IEPR Gas Prices Nominal'!AC10</f>
        <v>6.66208288823342</v>
      </c>
      <c r="M9" s="244">
        <f>'IEPR Gas Prices Nominal'!AD10</f>
        <v>6.8006704253133377</v>
      </c>
      <c r="N9" s="244">
        <f>'IEPR Gas Prices Nominal'!AE10</f>
        <v>6.9449263786301181</v>
      </c>
      <c r="O9" s="244">
        <f>'IEPR Gas Prices Nominal'!AF10</f>
        <v>7.0956281059175241</v>
      </c>
      <c r="P9" s="244">
        <f>'IEPR Gas Prices Nominal'!AG10</f>
        <v>7.2512979844260244</v>
      </c>
      <c r="Q9" s="244">
        <f>'IEPR Gas Prices Nominal'!AH10</f>
        <v>7.4109265131359292</v>
      </c>
      <c r="R9" s="244">
        <f>'IEPR Gas Prices Nominal'!AI10</f>
        <v>7.5733403421984491</v>
      </c>
      <c r="S9" s="244">
        <f>'IEPR Gas Prices Nominal'!AJ10</f>
        <v>7.7390070574407348</v>
      </c>
      <c r="T9" s="244">
        <f>'IEPR Gas Prices Nominal'!AK10</f>
        <v>7.9087935581944437</v>
      </c>
      <c r="U9" s="244">
        <f>'IEPR Gas Prices Nominal'!AL10</f>
        <v>8.0827382029944541</v>
      </c>
      <c r="V9" s="244">
        <f>'IEPR Gas Prices Nominal'!AM10</f>
        <v>8.260334589849359</v>
      </c>
      <c r="W9" s="244">
        <f>'IEPR Gas Prices Nominal'!AN10</f>
        <v>8.4422952610718642</v>
      </c>
      <c r="X9" s="244">
        <f>'IEPR Gas Prices Nominal'!AO10</f>
        <v>8.6288349768415937</v>
      </c>
      <c r="Y9" s="244">
        <f>'IEPR Gas Prices Nominal'!AP10</f>
        <v>8.8202209818507651</v>
      </c>
      <c r="Z9" s="244">
        <f>'IEPR Gas Prices Nominal'!AQ10</f>
        <v>9.0157651567311863</v>
      </c>
      <c r="AA9" s="244">
        <f>'IEPR Gas Prices Nominal'!AR10</f>
        <v>9.215200247156945</v>
      </c>
      <c r="AB9" s="244">
        <f>'IEPR Gas Prices Nominal'!AS10</f>
        <v>9.3992620827569322</v>
      </c>
      <c r="AC9" s="244">
        <f>'IEPR Gas Prices Nominal'!AT10</f>
        <v>9.5943826812470316</v>
      </c>
      <c r="AD9" s="244">
        <f>'IEPR Gas Prices Nominal'!AU10</f>
        <v>9.7891433002784236</v>
      </c>
      <c r="AE9" s="244">
        <f>'IEPR Gas Prices Nominal'!AV10</f>
        <v>9.9834379832346247</v>
      </c>
      <c r="AF9" s="244">
        <f>'IEPR Gas Prices Nominal'!AW10</f>
        <v>10.176677146422449</v>
      </c>
    </row>
    <row r="10" spans="1:34">
      <c r="B10" s="186">
        <v>36678</v>
      </c>
      <c r="C10" s="244">
        <f>'IEPR Gas Prices Nominal'!T11</f>
        <v>5.6905150070588943</v>
      </c>
      <c r="D10" s="244">
        <f>'IEPR Gas Prices Nominal'!U11</f>
        <v>5.807196785125889</v>
      </c>
      <c r="E10" s="244">
        <f>'IEPR Gas Prices Nominal'!V11</f>
        <v>5.9250034392180213</v>
      </c>
      <c r="F10" s="244">
        <f>'IEPR Gas Prices Nominal'!W11</f>
        <v>6.045487440498218</v>
      </c>
      <c r="G10" s="244">
        <f>'IEPR Gas Prices Nominal'!X11</f>
        <v>6.168187709077146</v>
      </c>
      <c r="H10" s="244">
        <f>'IEPR Gas Prices Nominal'!Y11</f>
        <v>6.2930206666254422</v>
      </c>
      <c r="I10" s="244">
        <f>'IEPR Gas Prices Nominal'!Z11</f>
        <v>6.4224192378220151</v>
      </c>
      <c r="J10" s="244">
        <f>'IEPR Gas Prices Nominal'!AA11</f>
        <v>6.5555902121843275</v>
      </c>
      <c r="K10" s="244">
        <f>'IEPR Gas Prices Nominal'!AB11</f>
        <v>6.6933760168393741</v>
      </c>
      <c r="L10" s="244">
        <f>'IEPR Gas Prices Nominal'!AC11</f>
        <v>6.8338611717817734</v>
      </c>
      <c r="M10" s="244">
        <f>'IEPR Gas Prices Nominal'!AD11</f>
        <v>6.9760798895440326</v>
      </c>
      <c r="N10" s="244">
        <f>'IEPR Gas Prices Nominal'!AE11</f>
        <v>7.1243199940690749</v>
      </c>
      <c r="O10" s="244">
        <f>'IEPR Gas Prices Nominal'!AF11</f>
        <v>7.2789527235531972</v>
      </c>
      <c r="P10" s="244">
        <f>'IEPR Gas Prices Nominal'!AG11</f>
        <v>7.4386845587242538</v>
      </c>
      <c r="Q10" s="244">
        <f>'IEPR Gas Prices Nominal'!AH11</f>
        <v>7.6022823691827268</v>
      </c>
      <c r="R10" s="244">
        <f>'IEPR Gas Prices Nominal'!AI11</f>
        <v>7.7689354219568658</v>
      </c>
      <c r="S10" s="244">
        <f>'IEPR Gas Prices Nominal'!AJ11</f>
        <v>7.9388968937629842</v>
      </c>
      <c r="T10" s="244">
        <f>'IEPR Gas Prices Nominal'!AK11</f>
        <v>8.1130965861109203</v>
      </c>
      <c r="U10" s="244">
        <f>'IEPR Gas Prices Nominal'!AL11</f>
        <v>8.2915431102776722</v>
      </c>
      <c r="V10" s="244">
        <f>'IEPR Gas Prices Nominal'!AM11</f>
        <v>8.4737614900161713</v>
      </c>
      <c r="W10" s="244">
        <f>'IEPR Gas Prices Nominal'!AN11</f>
        <v>8.6604293566092529</v>
      </c>
      <c r="X10" s="244">
        <f>'IEPR Gas Prices Nominal'!AO11</f>
        <v>8.8518266914545638</v>
      </c>
      <c r="Y10" s="244">
        <f>'IEPR Gas Prices Nominal'!AP11</f>
        <v>9.0481769204886167</v>
      </c>
      <c r="Z10" s="244">
        <f>'IEPR Gas Prices Nominal'!AQ11</f>
        <v>9.2488034831688299</v>
      </c>
      <c r="AA10" s="244">
        <f>'IEPR Gas Prices Nominal'!AR11</f>
        <v>9.4534044507294848</v>
      </c>
      <c r="AB10" s="244">
        <f>'IEPR Gas Prices Nominal'!AS11</f>
        <v>9.6422605038467353</v>
      </c>
      <c r="AC10" s="244">
        <f>'IEPR Gas Prices Nominal'!AT11</f>
        <v>9.8424189535766402</v>
      </c>
      <c r="AD10" s="244">
        <f>'IEPR Gas Prices Nominal'!AU11</f>
        <v>10.042331392545549</v>
      </c>
      <c r="AE10" s="244">
        <f>'IEPR Gas Prices Nominal'!AV11</f>
        <v>10.24168799517752</v>
      </c>
      <c r="AF10" s="244">
        <f>'IEPR Gas Prices Nominal'!AW11</f>
        <v>10.439920260839193</v>
      </c>
    </row>
    <row r="11" spans="1:34">
      <c r="B11" s="186">
        <v>36708</v>
      </c>
      <c r="C11" s="244">
        <f>'IEPR Gas Prices Nominal'!T12</f>
        <v>5.7354666681417532</v>
      </c>
      <c r="D11" s="244">
        <f>'IEPR Gas Prices Nominal'!U12</f>
        <v>5.8530013728411028</v>
      </c>
      <c r="E11" s="244">
        <f>'IEPR Gas Prices Nominal'!V12</f>
        <v>5.971873884186496</v>
      </c>
      <c r="F11" s="244">
        <f>'IEPR Gas Prices Nominal'!W12</f>
        <v>6.0933819417180155</v>
      </c>
      <c r="G11" s="244">
        <f>'IEPR Gas Prices Nominal'!X12</f>
        <v>6.2169848651107964</v>
      </c>
      <c r="H11" s="244">
        <f>'IEPR Gas Prices Nominal'!Y12</f>
        <v>6.342793146685163</v>
      </c>
      <c r="I11" s="244">
        <f>'IEPR Gas Prices Nominal'!Z12</f>
        <v>6.4733475384728756</v>
      </c>
      <c r="J11" s="244">
        <f>'IEPR Gas Prices Nominal'!AA12</f>
        <v>6.6073535360487563</v>
      </c>
      <c r="K11" s="244">
        <f>'IEPR Gas Prices Nominal'!AB12</f>
        <v>6.7465033441365145</v>
      </c>
      <c r="L11" s="244">
        <f>'IEPR Gas Prices Nominal'!AC12</f>
        <v>6.8876236059747251</v>
      </c>
      <c r="M11" s="244">
        <f>'IEPR Gas Prices Nominal'!AD12</f>
        <v>7.0310194091107769</v>
      </c>
      <c r="N11" s="244">
        <f>'IEPR Gas Prices Nominal'!AE12</f>
        <v>7.1806924549523012</v>
      </c>
      <c r="O11" s="244">
        <f>'IEPR Gas Prices Nominal'!AF12</f>
        <v>7.3365872938369607</v>
      </c>
      <c r="P11" s="244">
        <f>'IEPR Gas Prices Nominal'!AG12</f>
        <v>7.4976242297881965</v>
      </c>
      <c r="Q11" s="244">
        <f>'IEPR Gas Prices Nominal'!AH12</f>
        <v>7.6623612339542682</v>
      </c>
      <c r="R11" s="244">
        <f>'IEPR Gas Prices Nominal'!AI12</f>
        <v>7.8303772423392699</v>
      </c>
      <c r="S11" s="244">
        <f>'IEPR Gas Prices Nominal'!AJ12</f>
        <v>8.0016991270980409</v>
      </c>
      <c r="T11" s="244">
        <f>'IEPR Gas Prices Nominal'!AK12</f>
        <v>8.177304881991974</v>
      </c>
      <c r="U11" s="244">
        <f>'IEPR Gas Prices Nominal'!AL12</f>
        <v>8.3571722012577379</v>
      </c>
      <c r="V11" s="244">
        <f>'IEPR Gas Prices Nominal'!AM12</f>
        <v>8.5408672146333089</v>
      </c>
      <c r="W11" s="244">
        <f>'IEPR Gas Prices Nominal'!AN12</f>
        <v>8.7290191700686908</v>
      </c>
      <c r="X11" s="244">
        <f>'IEPR Gas Prices Nominal'!AO12</f>
        <v>8.9219704178192956</v>
      </c>
      <c r="Y11" s="244">
        <f>'IEPR Gas Prices Nominal'!AP12</f>
        <v>9.1198950220719492</v>
      </c>
      <c r="Z11" s="244">
        <f>'IEPR Gas Prices Nominal'!AQ12</f>
        <v>9.322140638232721</v>
      </c>
      <c r="AA11" s="244">
        <f>'IEPR Gas Prices Nominal'!AR12</f>
        <v>9.5283749542119427</v>
      </c>
      <c r="AB11" s="244">
        <f>'IEPR Gas Prices Nominal'!AS12</f>
        <v>9.7187654210309447</v>
      </c>
      <c r="AC11" s="244">
        <f>'IEPR Gas Prices Nominal'!AT12</f>
        <v>9.9205053549556066</v>
      </c>
      <c r="AD11" s="244">
        <f>'IEPR Gas Prices Nominal'!AU12</f>
        <v>10.122121589675935</v>
      </c>
      <c r="AE11" s="244">
        <f>'IEPR Gas Prices Nominal'!AV12</f>
        <v>10.323099099276062</v>
      </c>
      <c r="AF11" s="244">
        <f>'IEPR Gas Prices Nominal'!AW12</f>
        <v>10.522901489184838</v>
      </c>
    </row>
    <row r="12" spans="1:34">
      <c r="B12" s="186">
        <v>36739</v>
      </c>
      <c r="C12" s="244">
        <f>'IEPR Gas Prices Nominal'!T13</f>
        <v>5.6909733073475843</v>
      </c>
      <c r="D12" s="244">
        <f>'IEPR Gas Prices Nominal'!U13</f>
        <v>5.8075279605580716</v>
      </c>
      <c r="E12" s="244">
        <f>'IEPR Gas Prices Nominal'!V13</f>
        <v>5.9256125347425153</v>
      </c>
      <c r="F12" s="244">
        <f>'IEPR Gas Prices Nominal'!W13</f>
        <v>6.0462497381066704</v>
      </c>
      <c r="G12" s="244">
        <f>'IEPR Gas Prices Nominal'!X13</f>
        <v>6.168827704380436</v>
      </c>
      <c r="H12" s="244">
        <f>'IEPR Gas Prices Nominal'!Y13</f>
        <v>6.2936493181566533</v>
      </c>
      <c r="I12" s="244">
        <f>'IEPR Gas Prices Nominal'!Z13</f>
        <v>6.4233235559728934</v>
      </c>
      <c r="J12" s="244">
        <f>'IEPR Gas Prices Nominal'!AA13</f>
        <v>6.5560746935709107</v>
      </c>
      <c r="K12" s="244">
        <f>'IEPR Gas Prices Nominal'!AB13</f>
        <v>6.6944185170054942</v>
      </c>
      <c r="L12" s="244">
        <f>'IEPR Gas Prices Nominal'!AC13</f>
        <v>6.8339729958463264</v>
      </c>
      <c r="M12" s="244">
        <f>'IEPR Gas Prices Nominal'!AD13</f>
        <v>6.976309628655609</v>
      </c>
      <c r="N12" s="244">
        <f>'IEPR Gas Prices Nominal'!AE13</f>
        <v>7.1250815139296009</v>
      </c>
      <c r="O12" s="244">
        <f>'IEPR Gas Prices Nominal'!AF13</f>
        <v>7.2798072801411697</v>
      </c>
      <c r="P12" s="244">
        <f>'IEPR Gas Prices Nominal'!AG13</f>
        <v>7.4396379440426195</v>
      </c>
      <c r="Q12" s="244">
        <f>'IEPR Gas Prices Nominal'!AH13</f>
        <v>7.602945021099238</v>
      </c>
      <c r="R12" s="244">
        <f>'IEPR Gas Prices Nominal'!AI13</f>
        <v>7.7697037738516839</v>
      </c>
      <c r="S12" s="244">
        <f>'IEPR Gas Prices Nominal'!AJ13</f>
        <v>7.939714298344609</v>
      </c>
      <c r="T12" s="244">
        <f>'IEPR Gas Prices Nominal'!AK13</f>
        <v>8.113987538095488</v>
      </c>
      <c r="U12" s="244">
        <f>'IEPR Gas Prices Nominal'!AL13</f>
        <v>8.2924706110388016</v>
      </c>
      <c r="V12" s="244">
        <f>'IEPR Gas Prices Nominal'!AM13</f>
        <v>8.4747775294465644</v>
      </c>
      <c r="W12" s="244">
        <f>'IEPR Gas Prices Nominal'!AN13</f>
        <v>8.6614793324169792</v>
      </c>
      <c r="X12" s="244">
        <f>'IEPR Gas Prices Nominal'!AO13</f>
        <v>8.8529754139130201</v>
      </c>
      <c r="Y12" s="244">
        <f>'IEPR Gas Prices Nominal'!AP13</f>
        <v>9.0493877500767059</v>
      </c>
      <c r="Z12" s="244">
        <f>'IEPR Gas Prices Nominal'!AQ13</f>
        <v>9.2500983924187992</v>
      </c>
      <c r="AA12" s="244">
        <f>'IEPR Gas Prices Nominal'!AR13</f>
        <v>9.4547498215216432</v>
      </c>
      <c r="AB12" s="244">
        <f>'IEPR Gas Prices Nominal'!AS13</f>
        <v>9.6437055585805762</v>
      </c>
      <c r="AC12" s="244">
        <f>'IEPR Gas Prices Nominal'!AT13</f>
        <v>9.8438808277668723</v>
      </c>
      <c r="AD12" s="244">
        <f>'IEPR Gas Prices Nominal'!AU13</f>
        <v>10.044056666963455</v>
      </c>
      <c r="AE12" s="244">
        <f>'IEPR Gas Prices Nominal'!AV13</f>
        <v>10.243520835178844</v>
      </c>
      <c r="AF12" s="244">
        <f>'IEPR Gas Prices Nominal'!AW13</f>
        <v>10.441777417428375</v>
      </c>
    </row>
    <row r="13" spans="1:34">
      <c r="B13" s="186">
        <v>36770</v>
      </c>
      <c r="C13" s="244">
        <f>'IEPR Gas Prices Nominal'!T14</f>
        <v>5.7708270316157124</v>
      </c>
      <c r="D13" s="244">
        <f>'IEPR Gas Prices Nominal'!U14</f>
        <v>5.8889479039205499</v>
      </c>
      <c r="E13" s="244">
        <f>'IEPR Gas Prices Nominal'!V14</f>
        <v>6.0088255293177824</v>
      </c>
      <c r="F13" s="244">
        <f>'IEPR Gas Prices Nominal'!W14</f>
        <v>6.131228243795154</v>
      </c>
      <c r="G13" s="244">
        <f>'IEPR Gas Prices Nominal'!X14</f>
        <v>6.2554591460118418</v>
      </c>
      <c r="H13" s="244">
        <f>'IEPR Gas Prices Nominal'!Y14</f>
        <v>6.382021361178456</v>
      </c>
      <c r="I13" s="244">
        <f>'IEPR Gas Prices Nominal'!Z14</f>
        <v>6.5136496560128139</v>
      </c>
      <c r="J13" s="244">
        <f>'IEPR Gas Prices Nominal'!AA14</f>
        <v>6.648045159363309</v>
      </c>
      <c r="K13" s="244">
        <f>'IEPR Gas Prices Nominal'!AB14</f>
        <v>6.7886075352789517</v>
      </c>
      <c r="L13" s="244">
        <f>'IEPR Gas Prices Nominal'!AC14</f>
        <v>6.9296424808758585</v>
      </c>
      <c r="M13" s="244">
        <f>'IEPR Gas Prices Nominal'!AD14</f>
        <v>7.0740303206615591</v>
      </c>
      <c r="N13" s="244">
        <f>'IEPR Gas Prices Nominal'!AE14</f>
        <v>7.2251533481932428</v>
      </c>
      <c r="O13" s="244">
        <f>'IEPR Gas Prices Nominal'!AF14</f>
        <v>7.3820910377309055</v>
      </c>
      <c r="P13" s="244">
        <f>'IEPR Gas Prices Nominal'!AG14</f>
        <v>7.5442079841166292</v>
      </c>
      <c r="Q13" s="244">
        <f>'IEPR Gas Prices Nominal'!AH14</f>
        <v>7.7096524066193455</v>
      </c>
      <c r="R13" s="244">
        <f>'IEPR Gas Prices Nominal'!AI14</f>
        <v>7.8787978562853178</v>
      </c>
      <c r="S13" s="244">
        <f>'IEPR Gas Prices Nominal'!AJ14</f>
        <v>8.051211842692604</v>
      </c>
      <c r="T13" s="244">
        <f>'IEPR Gas Prices Nominal'!AK14</f>
        <v>8.2279606061923829</v>
      </c>
      <c r="U13" s="244">
        <f>'IEPR Gas Prices Nominal'!AL14</f>
        <v>8.4089593371795797</v>
      </c>
      <c r="V13" s="244">
        <f>'IEPR Gas Prices Nominal'!AM14</f>
        <v>8.5938617800975834</v>
      </c>
      <c r="W13" s="244">
        <f>'IEPR Gas Prices Nominal'!AN14</f>
        <v>8.7831929028112796</v>
      </c>
      <c r="X13" s="244">
        <f>'IEPR Gas Prices Nominal'!AO14</f>
        <v>8.9774182497879185</v>
      </c>
      <c r="Y13" s="244">
        <f>'IEPR Gas Prices Nominal'!AP14</f>
        <v>9.176610051258999</v>
      </c>
      <c r="Z13" s="244">
        <f>'IEPR Gas Prices Nominal'!AQ14</f>
        <v>9.3801714395085387</v>
      </c>
      <c r="AA13" s="244">
        <f>'IEPR Gas Prices Nominal'!AR14</f>
        <v>9.5877116991351414</v>
      </c>
      <c r="AB13" s="244">
        <f>'IEPR Gas Prices Nominal'!AS14</f>
        <v>9.7793616355830277</v>
      </c>
      <c r="AC13" s="244">
        <f>'IEPR Gas Prices Nominal'!AT14</f>
        <v>9.9823460479102213</v>
      </c>
      <c r="AD13" s="244">
        <f>'IEPR Gas Prices Nominal'!AU14</f>
        <v>10.185456096987187</v>
      </c>
      <c r="AE13" s="244">
        <f>'IEPR Gas Prices Nominal'!AV14</f>
        <v>10.387765483328296</v>
      </c>
      <c r="AF13" s="244">
        <f>'IEPR Gas Prices Nominal'!AW14</f>
        <v>10.588808167079621</v>
      </c>
    </row>
    <row r="14" spans="1:34">
      <c r="B14" s="186">
        <v>36800</v>
      </c>
      <c r="C14" s="244">
        <f>'IEPR Gas Prices Nominal'!T15</f>
        <v>5.7373789217263917</v>
      </c>
      <c r="D14" s="244">
        <f>'IEPR Gas Prices Nominal'!U15</f>
        <v>5.854746313658012</v>
      </c>
      <c r="E14" s="244">
        <f>'IEPR Gas Prices Nominal'!V15</f>
        <v>5.9740644817788491</v>
      </c>
      <c r="F14" s="244">
        <f>'IEPR Gas Prices Nominal'!W15</f>
        <v>6.0958301034061293</v>
      </c>
      <c r="G14" s="244">
        <f>'IEPR Gas Prices Nominal'!X15</f>
        <v>6.219274298527</v>
      </c>
      <c r="H14" s="244">
        <f>'IEPR Gas Prices Nominal'!Y15</f>
        <v>6.3450921603266695</v>
      </c>
      <c r="I14" s="244">
        <f>'IEPR Gas Prices Nominal'!Z15</f>
        <v>6.4760912830675368</v>
      </c>
      <c r="J14" s="244">
        <f>'IEPR Gas Prices Nominal'!AA15</f>
        <v>6.609490702368066</v>
      </c>
      <c r="K14" s="244">
        <f>'IEPR Gas Prices Nominal'!AB15</f>
        <v>6.7495141640608907</v>
      </c>
      <c r="L14" s="244">
        <f>'IEPR Gas Prices Nominal'!AC15</f>
        <v>6.8892566461730764</v>
      </c>
      <c r="M14" s="244">
        <f>'IEPR Gas Prices Nominal'!AD15</f>
        <v>7.0328612890019473</v>
      </c>
      <c r="N14" s="244">
        <f>'IEPR Gas Prices Nominal'!AE15</f>
        <v>7.1833705364848592</v>
      </c>
      <c r="O14" s="244">
        <f>'IEPR Gas Prices Nominal'!AF15</f>
        <v>7.339439239780126</v>
      </c>
      <c r="P14" s="244">
        <f>'IEPR Gas Prices Nominal'!AG15</f>
        <v>7.5006598942270033</v>
      </c>
      <c r="Q14" s="244">
        <f>'IEPR Gas Prices Nominal'!AH15</f>
        <v>7.6649921379440871</v>
      </c>
      <c r="R14" s="244">
        <f>'IEPR Gas Prices Nominal'!AI15</f>
        <v>7.8332037418431781</v>
      </c>
      <c r="S14" s="244">
        <f>'IEPR Gas Prices Nominal'!AJ15</f>
        <v>8.004636238063485</v>
      </c>
      <c r="T14" s="244">
        <f>'IEPR Gas Prices Nominal'!AK15</f>
        <v>8.1803905664774135</v>
      </c>
      <c r="U14" s="244">
        <f>'IEPR Gas Prices Nominal'!AL15</f>
        <v>8.3603513995924796</v>
      </c>
      <c r="V14" s="244">
        <f>'IEPR Gas Prices Nominal'!AM15</f>
        <v>8.5442193820895849</v>
      </c>
      <c r="W14" s="244">
        <f>'IEPR Gas Prices Nominal'!AN15</f>
        <v>8.7324626605788627</v>
      </c>
      <c r="X14" s="244">
        <f>'IEPR Gas Prices Nominal'!AO15</f>
        <v>8.9256042857163074</v>
      </c>
      <c r="Y14" s="244">
        <f>'IEPR Gas Prices Nominal'!AP15</f>
        <v>9.1236649021642133</v>
      </c>
      <c r="Z14" s="244">
        <f>'IEPR Gas Prices Nominal'!AQ15</f>
        <v>9.3260806853288969</v>
      </c>
      <c r="AA14" s="244">
        <f>'IEPR Gas Prices Nominal'!AR15</f>
        <v>9.5324351641199598</v>
      </c>
      <c r="AB14" s="244">
        <f>'IEPR Gas Prices Nominal'!AS15</f>
        <v>9.7230168818382232</v>
      </c>
      <c r="AC14" s="244">
        <f>'IEPR Gas Prices Nominal'!AT15</f>
        <v>9.9248251351417736</v>
      </c>
      <c r="AD14" s="244">
        <f>'IEPR Gas Prices Nominal'!AU15</f>
        <v>10.126882649679622</v>
      </c>
      <c r="AE14" s="244">
        <f>'IEPR Gas Prices Nominal'!AV15</f>
        <v>10.328065582390366</v>
      </c>
      <c r="AF14" s="244">
        <f>'IEPR Gas Prices Nominal'!AW15</f>
        <v>10.527947220297847</v>
      </c>
    </row>
    <row r="15" spans="1:34">
      <c r="B15" s="186">
        <v>36831</v>
      </c>
      <c r="C15" s="244">
        <f>'IEPR Gas Prices Nominal'!T16</f>
        <v>6.0207561813857451</v>
      </c>
      <c r="D15" s="244">
        <f>'IEPR Gas Prices Nominal'!U16</f>
        <v>6.1438482599147592</v>
      </c>
      <c r="E15" s="244">
        <f>'IEPR Gas Prices Nominal'!V16</f>
        <v>6.269201789967866</v>
      </c>
      <c r="F15" s="244">
        <f>'IEPR Gas Prices Nominal'!W16</f>
        <v>6.3970575350827339</v>
      </c>
      <c r="G15" s="244">
        <f>'IEPR Gas Prices Nominal'!X16</f>
        <v>6.5265288545230256</v>
      </c>
      <c r="H15" s="244">
        <f>'IEPR Gas Prices Nominal'!Y16</f>
        <v>6.6585497137462442</v>
      </c>
      <c r="I15" s="244">
        <f>'IEPR Gas Prices Nominal'!Z16</f>
        <v>6.7961594505259519</v>
      </c>
      <c r="J15" s="244">
        <f>'IEPR Gas Prices Nominal'!AA16</f>
        <v>6.9359197791129539</v>
      </c>
      <c r="K15" s="244">
        <f>'IEPR Gas Prices Nominal'!AB16</f>
        <v>7.0831486582342436</v>
      </c>
      <c r="L15" s="244">
        <f>'IEPR Gas Prices Nominal'!AC16</f>
        <v>7.2292946669126996</v>
      </c>
      <c r="M15" s="244">
        <f>'IEPR Gas Prices Nominal'!AD16</f>
        <v>7.3800484911278161</v>
      </c>
      <c r="N15" s="244">
        <f>'IEPR Gas Prices Nominal'!AE16</f>
        <v>7.5382667316327128</v>
      </c>
      <c r="O15" s="244">
        <f>'IEPR Gas Prices Nominal'!AF16</f>
        <v>7.7020865377921766</v>
      </c>
      <c r="P15" s="244">
        <f>'IEPR Gas Prices Nominal'!AG16</f>
        <v>7.8713156053499063</v>
      </c>
      <c r="Q15" s="244">
        <f>'IEPR Gas Prices Nominal'!AH16</f>
        <v>8.0436036058424438</v>
      </c>
      <c r="R15" s="244">
        <f>'IEPR Gas Prices Nominal'!AI16</f>
        <v>8.2201722573536706</v>
      </c>
      <c r="S15" s="244">
        <f>'IEPR Gas Prices Nominal'!AJ16</f>
        <v>8.4000907637829823</v>
      </c>
      <c r="T15" s="244">
        <f>'IEPR Gas Prices Nominal'!AK16</f>
        <v>8.5845573470852958</v>
      </c>
      <c r="U15" s="244">
        <f>'IEPR Gas Prices Nominal'!AL16</f>
        <v>8.7734184376113458</v>
      </c>
      <c r="V15" s="244">
        <f>'IEPR Gas Prices Nominal'!AM16</f>
        <v>8.9664070122410653</v>
      </c>
      <c r="W15" s="244">
        <f>'IEPR Gas Prices Nominal'!AN16</f>
        <v>9.1639578967763828</v>
      </c>
      <c r="X15" s="244">
        <f>'IEPR Gas Prices Nominal'!AO16</f>
        <v>9.3666831637369512</v>
      </c>
      <c r="Y15" s="244">
        <f>'IEPR Gas Prices Nominal'!AP16</f>
        <v>9.5745507752140568</v>
      </c>
      <c r="Z15" s="244">
        <f>'IEPR Gas Prices Nominal'!AQ16</f>
        <v>9.7870001080259215</v>
      </c>
      <c r="AA15" s="244">
        <f>'IEPR Gas Prices Nominal'!AR16</f>
        <v>10.003564712276861</v>
      </c>
      <c r="AB15" s="244">
        <f>'IEPR Gas Prices Nominal'!AS16</f>
        <v>10.203604238756961</v>
      </c>
      <c r="AC15" s="244">
        <f>'IEPR Gas Prices Nominal'!AT16</f>
        <v>10.415380457164362</v>
      </c>
      <c r="AD15" s="244">
        <f>'IEPR Gas Prices Nominal'!AU16</f>
        <v>10.627548762533781</v>
      </c>
      <c r="AE15" s="244">
        <f>'IEPR Gas Prices Nominal'!AV16</f>
        <v>10.838716836815484</v>
      </c>
      <c r="AF15" s="244">
        <f>'IEPR Gas Prices Nominal'!AW16</f>
        <v>11.048475331558102</v>
      </c>
    </row>
    <row r="16" spans="1:34">
      <c r="B16" s="186">
        <v>36861</v>
      </c>
      <c r="C16" s="244">
        <f>'IEPR Gas Prices Nominal'!T17</f>
        <v>6.0689790537941617</v>
      </c>
      <c r="D16" s="244">
        <f>'IEPR Gas Prices Nominal'!U17</f>
        <v>6.1929841860548649</v>
      </c>
      <c r="E16" s="244">
        <f>'IEPR Gas Prices Nominal'!V17</f>
        <v>6.3194849558042705</v>
      </c>
      <c r="F16" s="244">
        <f>'IEPR Gas Prices Nominal'!W17</f>
        <v>6.4484413206443598</v>
      </c>
      <c r="G16" s="244">
        <f>'IEPR Gas Prices Nominal'!X17</f>
        <v>6.5788791025056623</v>
      </c>
      <c r="H16" s="244">
        <f>'IEPR Gas Prices Nominal'!Y17</f>
        <v>6.7119459574423148</v>
      </c>
      <c r="I16" s="244">
        <f>'IEPR Gas Prices Nominal'!Z17</f>
        <v>6.8507993987140834</v>
      </c>
      <c r="J16" s="244">
        <f>'IEPR Gas Prices Nominal'!AA17</f>
        <v>6.9914493923723304</v>
      </c>
      <c r="K16" s="244">
        <f>'IEPR Gas Prices Nominal'!AB17</f>
        <v>7.1401493151839368</v>
      </c>
      <c r="L16" s="244">
        <f>'IEPR Gas Prices Nominal'!AC17</f>
        <v>7.2869632498753658</v>
      </c>
      <c r="M16" s="244">
        <f>'IEPR Gas Prices Nominal'!AD17</f>
        <v>7.4389813323204974</v>
      </c>
      <c r="N16" s="244">
        <f>'IEPR Gas Prices Nominal'!AE17</f>
        <v>7.5987441859486786</v>
      </c>
      <c r="O16" s="244">
        <f>'IEPR Gas Prices Nominal'!AF17</f>
        <v>7.7639190936263427</v>
      </c>
      <c r="P16" s="244">
        <f>'IEPR Gas Prices Nominal'!AG17</f>
        <v>7.9345494591833772</v>
      </c>
      <c r="Q16" s="244">
        <f>'IEPR Gas Prices Nominal'!AH17</f>
        <v>8.1080552317530419</v>
      </c>
      <c r="R16" s="244">
        <f>'IEPR Gas Prices Nominal'!AI17</f>
        <v>8.2860873360988379</v>
      </c>
      <c r="S16" s="244">
        <f>'IEPR Gas Prices Nominal'!AJ17</f>
        <v>8.4674657581384682</v>
      </c>
      <c r="T16" s="244">
        <f>'IEPR Gas Prices Nominal'!AK17</f>
        <v>8.6534415721994904</v>
      </c>
      <c r="U16" s="244">
        <f>'IEPR Gas Prices Nominal'!AL17</f>
        <v>8.8438271670232851</v>
      </c>
      <c r="V16" s="244">
        <f>'IEPR Gas Prices Nominal'!AM17</f>
        <v>9.0384008831326579</v>
      </c>
      <c r="W16" s="244">
        <f>'IEPR Gas Prices Nominal'!AN17</f>
        <v>9.237544125129503</v>
      </c>
      <c r="X16" s="244">
        <f>'IEPR Gas Prices Nominal'!AO17</f>
        <v>9.4419375712677915</v>
      </c>
      <c r="Y16" s="244">
        <f>'IEPR Gas Prices Nominal'!AP17</f>
        <v>9.6514947864856762</v>
      </c>
      <c r="Z16" s="244">
        <f>'IEPR Gas Prices Nominal'!AQ17</f>
        <v>9.8656819602510168</v>
      </c>
      <c r="AA16" s="244">
        <f>'IEPR Gas Prices Nominal'!AR17</f>
        <v>10.083999257929332</v>
      </c>
      <c r="AB16" s="244">
        <f>'IEPR Gas Prices Nominal'!AS17</f>
        <v>10.28568606163538</v>
      </c>
      <c r="AC16" s="244">
        <f>'IEPR Gas Prices Nominal'!AT17</f>
        <v>10.499158861564974</v>
      </c>
      <c r="AD16" s="244">
        <f>'IEPR Gas Prices Nominal'!AU17</f>
        <v>10.713158468448832</v>
      </c>
      <c r="AE16" s="244">
        <f>'IEPR Gas Prices Nominal'!AV17</f>
        <v>10.926066707568102</v>
      </c>
      <c r="AF16" s="244">
        <f>'IEPR Gas Prices Nominal'!AW17</f>
        <v>11.137509706046513</v>
      </c>
    </row>
    <row r="17" spans="1:33">
      <c r="B17" s="187"/>
      <c r="C17" s="185"/>
      <c r="D17" s="185"/>
      <c r="E17" s="185"/>
      <c r="F17" s="185"/>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row>
    <row r="18" spans="1:33">
      <c r="B18" s="185" t="str">
        <f>"CA Gas Price Forecast ($/MMBtu) ($"&amp;'IEPR Gas Prices Real'!$C$4&amp;")"</f>
        <v>CA Gas Price Forecast ($/MMBtu) ($2022)</v>
      </c>
      <c r="C18" s="234">
        <f>'User Dashboard'!E$46</f>
        <v>2026</v>
      </c>
      <c r="D18" s="234">
        <f>'User Dashboard'!F$46</f>
        <v>2027</v>
      </c>
      <c r="E18" s="234">
        <f>'User Dashboard'!G$46</f>
        <v>2028</v>
      </c>
      <c r="F18" s="234">
        <f>'User Dashboard'!H$46</f>
        <v>2029</v>
      </c>
      <c r="G18" s="234">
        <f>'User Dashboard'!I$46</f>
        <v>2030</v>
      </c>
      <c r="H18" s="234">
        <f>'User Dashboard'!J$46</f>
        <v>2031</v>
      </c>
      <c r="I18" s="234">
        <f>'User Dashboard'!K$46</f>
        <v>2032</v>
      </c>
      <c r="J18" s="234">
        <f>'User Dashboard'!L$46</f>
        <v>2033</v>
      </c>
      <c r="K18" s="234">
        <f>'User Dashboard'!M$46</f>
        <v>2034</v>
      </c>
      <c r="L18" s="234">
        <f>'User Dashboard'!N$46</f>
        <v>2035</v>
      </c>
      <c r="M18" s="234">
        <f>'User Dashboard'!O$46</f>
        <v>2036</v>
      </c>
      <c r="N18" s="234">
        <f>'User Dashboard'!P$46</f>
        <v>2037</v>
      </c>
      <c r="O18" s="234">
        <f>'User Dashboard'!Q$46</f>
        <v>2038</v>
      </c>
      <c r="P18" s="234">
        <f>'User Dashboard'!R$46</f>
        <v>2039</v>
      </c>
      <c r="Q18" s="234">
        <f>'User Dashboard'!S$46</f>
        <v>2040</v>
      </c>
      <c r="R18" s="234">
        <f>'User Dashboard'!T$46</f>
        <v>2041</v>
      </c>
      <c r="S18" s="234">
        <f>'User Dashboard'!U$46</f>
        <v>2042</v>
      </c>
      <c r="T18" s="234">
        <f>'User Dashboard'!V$46</f>
        <v>2043</v>
      </c>
      <c r="U18" s="234">
        <f>'User Dashboard'!W$46</f>
        <v>2044</v>
      </c>
      <c r="V18" s="234">
        <f>'User Dashboard'!X$46</f>
        <v>2045</v>
      </c>
      <c r="W18" s="234">
        <f>'User Dashboard'!Y$46</f>
        <v>2046</v>
      </c>
      <c r="X18" s="234">
        <f>'User Dashboard'!Z$46</f>
        <v>2047</v>
      </c>
      <c r="Y18" s="234">
        <f>'User Dashboard'!AA$46</f>
        <v>2048</v>
      </c>
      <c r="Z18" s="234">
        <f>'User Dashboard'!AB$46</f>
        <v>2049</v>
      </c>
      <c r="AA18" s="234">
        <f>'User Dashboard'!AC$46</f>
        <v>2050</v>
      </c>
      <c r="AB18" s="234">
        <f>'User Dashboard'!AD$46</f>
        <v>2051</v>
      </c>
      <c r="AC18" s="234">
        <f>'User Dashboard'!AE$46</f>
        <v>2052</v>
      </c>
      <c r="AD18" s="234">
        <f>'User Dashboard'!AF$46</f>
        <v>2053</v>
      </c>
      <c r="AE18" s="234">
        <f>'User Dashboard'!AG$46</f>
        <v>2054</v>
      </c>
      <c r="AF18" s="234">
        <f>'User Dashboard'!AH$46</f>
        <v>2055</v>
      </c>
    </row>
    <row r="19" spans="1:33">
      <c r="A19" s="120"/>
      <c r="B19" s="186">
        <v>36526</v>
      </c>
      <c r="C19" s="244">
        <f>'IEPR Gas Prices Real'!T8</f>
        <v>5.5406483233614097</v>
      </c>
      <c r="D19" s="244">
        <f>'IEPR Gas Prices Real'!U8</f>
        <v>5.5355627248575656</v>
      </c>
      <c r="E19" s="244">
        <f>'IEPR Gas Prices Real'!V8</f>
        <v>5.5298932774110057</v>
      </c>
      <c r="F19" s="244">
        <f>'IEPR Gas Prices Real'!W8</f>
        <v>5.5256846082773583</v>
      </c>
      <c r="G19" s="244">
        <f>'IEPR Gas Prices Real'!X8</f>
        <v>5.5221248053937479</v>
      </c>
      <c r="H19" s="244">
        <f>'IEPR Gas Prices Real'!Y8</f>
        <v>5.5178788613960235</v>
      </c>
      <c r="I19" s="244">
        <f>'IEPR Gas Prices Real'!Z8</f>
        <v>5.5136318086028906</v>
      </c>
      <c r="J19" s="244">
        <f>'IEPR Gas Prices Real'!AA8</f>
        <v>5.5104434142509975</v>
      </c>
      <c r="K19" s="244">
        <f>'IEPR Gas Prices Real'!AB8</f>
        <v>5.5054561984836639</v>
      </c>
      <c r="L19" s="244">
        <f>'IEPR Gas Prices Real'!AC8</f>
        <v>5.502566611162842</v>
      </c>
      <c r="M19" s="244">
        <f>'IEPR Gas Prices Real'!AD8</f>
        <v>5.4955100559738534</v>
      </c>
      <c r="N19" s="244">
        <f>'IEPR Gas Prices Real'!AE8</f>
        <v>5.4891654272736696</v>
      </c>
      <c r="O19" s="244">
        <f>'IEPR Gas Prices Real'!AF8</f>
        <v>5.4850872797197958</v>
      </c>
      <c r="P19" s="244">
        <f>'IEPR Gas Prices Real'!AG8</f>
        <v>5.4813584507119648</v>
      </c>
      <c r="Q19" s="244">
        <f>'IEPR Gas Prices Real'!AH8</f>
        <v>5.477844222909571</v>
      </c>
      <c r="R19" s="244">
        <f>'IEPR Gas Prices Real'!AI8</f>
        <v>5.4731301884718926</v>
      </c>
      <c r="S19" s="244">
        <f>'IEPR Gas Prices Real'!AJ8</f>
        <v>5.4687842256927404</v>
      </c>
      <c r="T19" s="244">
        <f>'IEPR Gas Prices Real'!AK8</f>
        <v>5.4645824706956416</v>
      </c>
      <c r="U19" s="244">
        <f>'IEPR Gas Prices Real'!AL8</f>
        <v>5.4605953462772021</v>
      </c>
      <c r="V19" s="244">
        <f>'IEPR Gas Prices Real'!AM8</f>
        <v>5.4566944056464957</v>
      </c>
      <c r="W19" s="244">
        <f>'IEPR Gas Prices Real'!AN8</f>
        <v>5.4530410660728608</v>
      </c>
      <c r="X19" s="244">
        <f>'IEPR Gas Prices Real'!AO8</f>
        <v>5.4494533855446106</v>
      </c>
      <c r="Y19" s="244">
        <f>'IEPR Gas Prices Real'!AP8</f>
        <v>5.4461346542652045</v>
      </c>
      <c r="Z19" s="244">
        <f>'IEPR Gas Prices Real'!AQ8</f>
        <v>5.4429559278051824</v>
      </c>
      <c r="AA19" s="244">
        <f>'IEPR Gas Prices Real'!AR8</f>
        <v>5.4399704360330281</v>
      </c>
      <c r="AB19" s="244">
        <f>'IEPR Gas Prices Real'!AS8</f>
        <v>5.4370760904811526</v>
      </c>
      <c r="AC19" s="244">
        <f>'IEPR Gas Prices Real'!AT8</f>
        <v>5.4344052896056461</v>
      </c>
      <c r="AD19" s="244">
        <f>'IEPR Gas Prices Real'!AU8</f>
        <v>5.4317589753010518</v>
      </c>
      <c r="AE19" s="244">
        <f>'IEPR Gas Prices Real'!AV8</f>
        <v>5.4298281947506881</v>
      </c>
      <c r="AF19" s="244">
        <f>'IEPR Gas Prices Real'!AW8</f>
        <v>5.4281088704580123</v>
      </c>
    </row>
    <row r="20" spans="1:33">
      <c r="B20" s="186">
        <v>36557</v>
      </c>
      <c r="C20" s="244">
        <f>'IEPR Gas Prices Real'!T9</f>
        <v>5.4189858779831779</v>
      </c>
      <c r="D20" s="244">
        <f>'IEPR Gas Prices Real'!U9</f>
        <v>5.413948372232646</v>
      </c>
      <c r="E20" s="244">
        <f>'IEPR Gas Prices Real'!V9</f>
        <v>5.408527146707315</v>
      </c>
      <c r="F20" s="244">
        <f>'IEPR Gas Prices Real'!W9</f>
        <v>5.4044737409237511</v>
      </c>
      <c r="G20" s="244">
        <f>'IEPR Gas Prices Real'!X9</f>
        <v>5.4009317526008838</v>
      </c>
      <c r="H20" s="244">
        <f>'IEPR Gas Prices Real'!Y9</f>
        <v>5.3967685841031274</v>
      </c>
      <c r="I20" s="244">
        <f>'IEPR Gas Prices Real'!Z9</f>
        <v>5.3927249744787185</v>
      </c>
      <c r="J20" s="244">
        <f>'IEPR Gas Prices Real'!AA9</f>
        <v>5.389426352838945</v>
      </c>
      <c r="K20" s="244">
        <f>'IEPR Gas Prices Real'!AB9</f>
        <v>5.3847688568847332</v>
      </c>
      <c r="L20" s="244">
        <f>'IEPR Gas Prices Real'!AC9</f>
        <v>5.3815678702847691</v>
      </c>
      <c r="M20" s="244">
        <f>'IEPR Gas Prices Real'!AD9</f>
        <v>5.3747109606175245</v>
      </c>
      <c r="N20" s="244">
        <f>'IEPR Gas Prices Real'!AE9</f>
        <v>5.3687041305412322</v>
      </c>
      <c r="O20" s="244">
        <f>'IEPR Gas Prices Real'!AF9</f>
        <v>5.364743651358638</v>
      </c>
      <c r="P20" s="244">
        <f>'IEPR Gas Prices Real'!AG9</f>
        <v>5.3611254682811689</v>
      </c>
      <c r="Q20" s="244">
        <f>'IEPR Gas Prices Real'!AH9</f>
        <v>5.3575785772221947</v>
      </c>
      <c r="R20" s="244">
        <f>'IEPR Gas Prices Real'!AI9</f>
        <v>5.352999422627577</v>
      </c>
      <c r="S20" s="244">
        <f>'IEPR Gas Prices Real'!AJ9</f>
        <v>5.3487597031443856</v>
      </c>
      <c r="T20" s="244">
        <f>'IEPR Gas Prices Real'!AK9</f>
        <v>5.3446684679227872</v>
      </c>
      <c r="U20" s="244">
        <f>'IEPR Gas Prices Real'!AL9</f>
        <v>5.3407742918657908</v>
      </c>
      <c r="V20" s="244">
        <f>'IEPR Gas Prices Real'!AM9</f>
        <v>5.3369803958264681</v>
      </c>
      <c r="W20" s="244">
        <f>'IEPR Gas Prices Real'!AN9</f>
        <v>5.333410761719624</v>
      </c>
      <c r="X20" s="244">
        <f>'IEPR Gas Prices Real'!AO9</f>
        <v>5.3299245154652501</v>
      </c>
      <c r="Y20" s="244">
        <f>'IEPR Gas Prices Real'!AP9</f>
        <v>5.326689351235685</v>
      </c>
      <c r="Z20" s="244">
        <f>'IEPR Gas Prices Real'!AQ9</f>
        <v>5.3235968013975183</v>
      </c>
      <c r="AA20" s="244">
        <f>'IEPR Gas Prices Real'!AR9</f>
        <v>5.3206829141445269</v>
      </c>
      <c r="AB20" s="244">
        <f>'IEPR Gas Prices Real'!AS9</f>
        <v>5.3178721003814848</v>
      </c>
      <c r="AC20" s="244">
        <f>'IEPR Gas Prices Real'!AT9</f>
        <v>5.3152562988403771</v>
      </c>
      <c r="AD20" s="244">
        <f>'IEPR Gas Prices Real'!AU9</f>
        <v>5.3127297898425532</v>
      </c>
      <c r="AE20" s="244">
        <f>'IEPR Gas Prices Real'!AV9</f>
        <v>5.3108603194679063</v>
      </c>
      <c r="AF20" s="244">
        <f>'IEPR Gas Prices Real'!AW9</f>
        <v>5.3091758296299867</v>
      </c>
    </row>
    <row r="21" spans="1:33">
      <c r="B21" s="186">
        <v>36586</v>
      </c>
      <c r="C21" s="244">
        <f>'IEPR Gas Prices Real'!T10</f>
        <v>4.9744746923420964</v>
      </c>
      <c r="D21" s="244">
        <f>'IEPR Gas Prices Real'!U10</f>
        <v>4.9697920342671633</v>
      </c>
      <c r="E21" s="244">
        <f>'IEPR Gas Prices Real'!V10</f>
        <v>4.9649291025943532</v>
      </c>
      <c r="F21" s="244">
        <f>'IEPR Gas Prices Real'!W10</f>
        <v>4.9612658935819143</v>
      </c>
      <c r="G21" s="244">
        <f>'IEPR Gas Prices Real'!X10</f>
        <v>4.9579590392494763</v>
      </c>
      <c r="H21" s="244">
        <f>'IEPR Gas Prices Real'!Y10</f>
        <v>4.9541277678965621</v>
      </c>
      <c r="I21" s="244">
        <f>'IEPR Gas Prices Real'!Z10</f>
        <v>4.950517012046407</v>
      </c>
      <c r="J21" s="244">
        <f>'IEPR Gas Prices Real'!AA10</f>
        <v>4.9473234924722265</v>
      </c>
      <c r="K21" s="244">
        <f>'IEPR Gas Prices Real'!AB10</f>
        <v>4.9432502206357496</v>
      </c>
      <c r="L21" s="244">
        <f>'IEPR Gas Prices Real'!AC10</f>
        <v>4.9399676531462395</v>
      </c>
      <c r="M21" s="244">
        <f>'IEPR Gas Prices Real'!AD10</f>
        <v>4.9337142417281337</v>
      </c>
      <c r="N21" s="244">
        <f>'IEPR Gas Prices Real'!AE10</f>
        <v>4.9283823713783681</v>
      </c>
      <c r="O21" s="244">
        <f>'IEPR Gas Prices Real'!AF10</f>
        <v>4.9247725813224195</v>
      </c>
      <c r="P21" s="244">
        <f>'IEPR Gas Prices Real'!AG10</f>
        <v>4.9214776042328294</v>
      </c>
      <c r="Q21" s="244">
        <f>'IEPR Gas Prices Real'!AH10</f>
        <v>4.9181208239242409</v>
      </c>
      <c r="R21" s="244">
        <f>'IEPR Gas Prices Real'!AI10</f>
        <v>4.9139460900022476</v>
      </c>
      <c r="S21" s="244">
        <f>'IEPR Gas Prices Real'!AJ10</f>
        <v>4.9100640766678287</v>
      </c>
      <c r="T21" s="244">
        <f>'IEPR Gas Prices Real'!AK10</f>
        <v>4.9063252011662799</v>
      </c>
      <c r="U21" s="244">
        <f>'IEPR Gas Prices Real'!AL10</f>
        <v>4.9027554148257861</v>
      </c>
      <c r="V21" s="244">
        <f>'IEPR Gas Prices Real'!AM10</f>
        <v>4.8992923620437008</v>
      </c>
      <c r="W21" s="244">
        <f>'IEPR Gas Prices Real'!AN10</f>
        <v>4.8960187390802092</v>
      </c>
      <c r="X21" s="244">
        <f>'IEPR Gas Prices Real'!AO10</f>
        <v>4.8928392644756409</v>
      </c>
      <c r="Y21" s="244">
        <f>'IEPR Gas Prices Real'!AP10</f>
        <v>4.8898792939579288</v>
      </c>
      <c r="Z21" s="244">
        <f>'IEPR Gas Prices Real'!AQ10</f>
        <v>4.8870554577629015</v>
      </c>
      <c r="AA21" s="244">
        <f>'IEPR Gas Prices Real'!AR10</f>
        <v>4.8843861455498958</v>
      </c>
      <c r="AB21" s="244">
        <f>'IEPR Gas Prices Real'!AS10</f>
        <v>4.881824239921472</v>
      </c>
      <c r="AC21" s="244">
        <f>'IEPR Gas Prices Real'!AT10</f>
        <v>4.8794196606845324</v>
      </c>
      <c r="AD21" s="244">
        <f>'IEPR Gas Prices Real'!AU10</f>
        <v>4.877157042131878</v>
      </c>
      <c r="AE21" s="244">
        <f>'IEPR Gas Prices Real'!AV10</f>
        <v>4.875458286514184</v>
      </c>
      <c r="AF21" s="244">
        <f>'IEPR Gas Prices Real'!AW10</f>
        <v>4.8739092930919723</v>
      </c>
    </row>
    <row r="22" spans="1:33">
      <c r="B22" s="186">
        <v>36617</v>
      </c>
      <c r="C22" s="244">
        <f>'IEPR Gas Prices Real'!T11</f>
        <v>4.8896658058736611</v>
      </c>
      <c r="D22" s="244">
        <f>'IEPR Gas Prices Real'!U11</f>
        <v>4.8850055967772859</v>
      </c>
      <c r="E22" s="244">
        <f>'IEPR Gas Prices Real'!V11</f>
        <v>4.880337251408382</v>
      </c>
      <c r="F22" s="244">
        <f>'IEPR Gas Prices Real'!W11</f>
        <v>4.8767932226243387</v>
      </c>
      <c r="G22" s="244">
        <f>'IEPR Gas Prices Real'!X11</f>
        <v>4.8734882727420485</v>
      </c>
      <c r="H22" s="244">
        <f>'IEPR Gas Prices Real'!Y11</f>
        <v>4.869712881032922</v>
      </c>
      <c r="I22" s="244">
        <f>'IEPR Gas Prices Real'!Z11</f>
        <v>4.8662631372167704</v>
      </c>
      <c r="J22" s="244">
        <f>'IEPR Gas Prices Real'!AA11</f>
        <v>4.8629613811444052</v>
      </c>
      <c r="K22" s="244">
        <f>'IEPR Gas Prices Real'!AB11</f>
        <v>4.8591563136981195</v>
      </c>
      <c r="L22" s="244">
        <f>'IEPR Gas Prices Real'!AC11</f>
        <v>4.8555913734199265</v>
      </c>
      <c r="M22" s="244">
        <f>'IEPR Gas Prices Real'!AD11</f>
        <v>4.8494849180710347</v>
      </c>
      <c r="N22" s="244">
        <f>'IEPR Gas Prices Real'!AE11</f>
        <v>4.8444230986318901</v>
      </c>
      <c r="O22" s="244">
        <f>'IEPR Gas Prices Real'!AF11</f>
        <v>4.840900231925052</v>
      </c>
      <c r="P22" s="244">
        <f>'IEPR Gas Prices Real'!AG11</f>
        <v>4.8376873958346165</v>
      </c>
      <c r="Q22" s="244">
        <f>'IEPR Gas Prices Real'!AH11</f>
        <v>4.8342887134545611</v>
      </c>
      <c r="R22" s="244">
        <f>'IEPR Gas Prices Real'!AI11</f>
        <v>4.8302134666389156</v>
      </c>
      <c r="S22" s="244">
        <f>'IEPR Gas Prices Real'!AJ11</f>
        <v>4.8264073976244131</v>
      </c>
      <c r="T22" s="244">
        <f>'IEPR Gas Prices Real'!AK11</f>
        <v>4.8227487441340715</v>
      </c>
      <c r="U22" s="244">
        <f>'IEPR Gas Prices Real'!AL11</f>
        <v>4.8192446910133464</v>
      </c>
      <c r="V22" s="244">
        <f>'IEPR Gas Prices Real'!AM11</f>
        <v>4.8158599830431266</v>
      </c>
      <c r="W22" s="244">
        <f>'IEPR Gas Prices Real'!AN11</f>
        <v>4.8126453168678776</v>
      </c>
      <c r="X22" s="244">
        <f>'IEPR Gas Prices Real'!AO11</f>
        <v>4.8095404971620423</v>
      </c>
      <c r="Y22" s="244">
        <f>'IEPR Gas Prices Real'!AP11</f>
        <v>4.8066406427987713</v>
      </c>
      <c r="Z22" s="244">
        <f>'IEPR Gas Prices Real'!AQ11</f>
        <v>4.8038797320107882</v>
      </c>
      <c r="AA22" s="244">
        <f>'IEPR Gas Prices Real'!AR11</f>
        <v>4.8012613878407384</v>
      </c>
      <c r="AB22" s="244">
        <f>'IEPR Gas Prices Real'!AS11</f>
        <v>4.7987611910348589</v>
      </c>
      <c r="AC22" s="244">
        <f>'IEPR Gas Prices Real'!AT11</f>
        <v>4.7963943156740454</v>
      </c>
      <c r="AD22" s="244">
        <f>'IEPR Gas Prices Real'!AU11</f>
        <v>4.7942259595138976</v>
      </c>
      <c r="AE22" s="244">
        <f>'IEPR Gas Prices Real'!AV11</f>
        <v>4.7925732371291829</v>
      </c>
      <c r="AF22" s="244">
        <f>'IEPR Gas Prices Real'!AW11</f>
        <v>4.7910480177650401</v>
      </c>
    </row>
    <row r="23" spans="1:33">
      <c r="B23" s="186">
        <v>36647</v>
      </c>
      <c r="C23" s="244">
        <f>'IEPR Gas Prices Real'!T12</f>
        <v>5.0596688585901139</v>
      </c>
      <c r="D23" s="244">
        <f>'IEPR Gas Prices Real'!U12</f>
        <v>5.0547872352557368</v>
      </c>
      <c r="E23" s="244">
        <f>'IEPR Gas Prices Real'!V12</f>
        <v>5.050072161056649</v>
      </c>
      <c r="F23" s="244">
        <f>'IEPR Gas Prices Real'!W12</f>
        <v>5.0464636220972521</v>
      </c>
      <c r="G23" s="244">
        <f>'IEPR Gas Prices Real'!X12</f>
        <v>5.0429873903603584</v>
      </c>
      <c r="H23" s="244">
        <f>'IEPR Gas Prices Real'!Y12</f>
        <v>5.039070967855241</v>
      </c>
      <c r="I23" s="244">
        <f>'IEPR Gas Prices Real'!Z12</f>
        <v>5.0356042101889669</v>
      </c>
      <c r="J23" s="244">
        <f>'IEPR Gas Prices Real'!AA12</f>
        <v>5.0320192954797411</v>
      </c>
      <c r="K23" s="244">
        <f>'IEPR Gas Prices Real'!AB12</f>
        <v>5.0282876355746309</v>
      </c>
      <c r="L23" s="244">
        <f>'IEPR Gas Prices Real'!AC12</f>
        <v>5.0242485972809217</v>
      </c>
      <c r="M23" s="244">
        <f>'IEPR Gas Prices Real'!AD12</f>
        <v>5.0179715855212255</v>
      </c>
      <c r="N23" s="244">
        <f>'IEPR Gas Prices Real'!AE12</f>
        <v>5.0129191830974271</v>
      </c>
      <c r="O23" s="244">
        <f>'IEPR Gas Prices Real'!AF12</f>
        <v>5.0093001010872227</v>
      </c>
      <c r="P23" s="244">
        <f>'IEPR Gas Prices Real'!AG12</f>
        <v>5.0060024340463629</v>
      </c>
      <c r="Q23" s="244">
        <f>'IEPR Gas Prices Real'!AH12</f>
        <v>5.0023829936036046</v>
      </c>
      <c r="R23" s="244">
        <f>'IEPR Gas Prices Real'!AI12</f>
        <v>4.9981953609663012</v>
      </c>
      <c r="S23" s="244">
        <f>'IEPR Gas Prices Real'!AJ12</f>
        <v>4.9942670646875671</v>
      </c>
      <c r="T23" s="244">
        <f>'IEPR Gas Prices Real'!AK12</f>
        <v>4.9904982618929905</v>
      </c>
      <c r="U23" s="244">
        <f>'IEPR Gas Prices Real'!AL12</f>
        <v>4.9868774232342714</v>
      </c>
      <c r="V23" s="244">
        <f>'IEPR Gas Prices Real'!AM12</f>
        <v>4.9833950143701395</v>
      </c>
      <c r="W23" s="244">
        <f>'IEPR Gas Prices Real'!AN12</f>
        <v>4.9800718364934715</v>
      </c>
      <c r="X23" s="244">
        <f>'IEPR Gas Prices Real'!AO12</f>
        <v>4.9768802317381278</v>
      </c>
      <c r="Y23" s="244">
        <f>'IEPR Gas Prices Real'!AP12</f>
        <v>4.9738895450072649</v>
      </c>
      <c r="Z23" s="244">
        <f>'IEPR Gas Prices Real'!AQ12</f>
        <v>4.9710479419662326</v>
      </c>
      <c r="AA23" s="244">
        <f>'IEPR Gas Prices Real'!AR12</f>
        <v>4.9683442137659695</v>
      </c>
      <c r="AB23" s="244">
        <f>'IEPR Gas Prices Real'!AS12</f>
        <v>4.965775751655495</v>
      </c>
      <c r="AC23" s="244">
        <f>'IEPR Gas Prices Real'!AT12</f>
        <v>4.963323178890688</v>
      </c>
      <c r="AD23" s="244">
        <f>'IEPR Gas Prices Real'!AU12</f>
        <v>4.9611370659694005</v>
      </c>
      <c r="AE23" s="244">
        <f>'IEPR Gas Prices Real'!AV12</f>
        <v>4.9594445496930026</v>
      </c>
      <c r="AF23" s="244">
        <f>'IEPR Gas Prices Real'!AW12</f>
        <v>4.9578635753205136</v>
      </c>
    </row>
    <row r="24" spans="1:33">
      <c r="B24" s="186">
        <v>36678</v>
      </c>
      <c r="C24" s="244">
        <f>'IEPR Gas Prices Real'!T13</f>
        <v>5.1902962293720316</v>
      </c>
      <c r="D24" s="244">
        <f>'IEPR Gas Prices Real'!U13</f>
        <v>5.1852276439683838</v>
      </c>
      <c r="E24" s="244">
        <f>'IEPR Gas Prices Real'!V13</f>
        <v>5.1805094201907034</v>
      </c>
      <c r="F24" s="244">
        <f>'IEPR Gas Prices Real'!W13</f>
        <v>5.1768679510146383</v>
      </c>
      <c r="G24" s="244">
        <f>'IEPR Gas Prices Real'!X13</f>
        <v>5.1732441319510114</v>
      </c>
      <c r="H24" s="244">
        <f>'IEPR Gas Prices Real'!Y13</f>
        <v>5.169216575349175</v>
      </c>
      <c r="I24" s="244">
        <f>'IEPR Gas Prices Real'!Z13</f>
        <v>5.1657659145813879</v>
      </c>
      <c r="J24" s="244">
        <f>'IEPR Gas Prices Real'!AA13</f>
        <v>5.1619157102232469</v>
      </c>
      <c r="K24" s="244">
        <f>'IEPR Gas Prices Real'!AB13</f>
        <v>5.1582987526735877</v>
      </c>
      <c r="L24" s="244">
        <f>'IEPR Gas Prices Real'!AC13</f>
        <v>5.1537961899242788</v>
      </c>
      <c r="M24" s="244">
        <f>'IEPR Gas Prices Real'!AD13</f>
        <v>5.1473999583570667</v>
      </c>
      <c r="N24" s="244">
        <f>'IEPR Gas Prices Real'!AE13</f>
        <v>5.1424073370577483</v>
      </c>
      <c r="O24" s="244">
        <f>'IEPR Gas Prices Real'!AF13</f>
        <v>5.1387217691828617</v>
      </c>
      <c r="P24" s="244">
        <f>'IEPR Gas Prices Real'!AG13</f>
        <v>5.1353665353506068</v>
      </c>
      <c r="Q24" s="244">
        <f>'IEPR Gas Prices Real'!AH13</f>
        <v>5.1315483926017258</v>
      </c>
      <c r="R24" s="244">
        <f>'IEPR Gas Prices Real'!AI13</f>
        <v>5.1272827089663737</v>
      </c>
      <c r="S24" s="244">
        <f>'IEPR Gas Prices Real'!AJ13</f>
        <v>5.123263358230183</v>
      </c>
      <c r="T24" s="244">
        <f>'IEPR Gas Prices Real'!AK13</f>
        <v>5.1194147519005284</v>
      </c>
      <c r="U24" s="244">
        <f>'IEPR Gas Prices Real'!AL13</f>
        <v>5.1157056064365216</v>
      </c>
      <c r="V24" s="244">
        <f>'IEPR Gas Prices Real'!AM13</f>
        <v>5.1121537878380749</v>
      </c>
      <c r="W24" s="244">
        <f>'IEPR Gas Prices Real'!AN13</f>
        <v>5.1087481540316473</v>
      </c>
      <c r="X24" s="244">
        <f>'IEPR Gas Prices Real'!AO13</f>
        <v>5.1054958628490725</v>
      </c>
      <c r="Y24" s="244">
        <f>'IEPR Gas Prices Real'!AP13</f>
        <v>5.1024382131467823</v>
      </c>
      <c r="Z24" s="244">
        <f>'IEPR Gas Prices Real'!AQ13</f>
        <v>5.0995389433286853</v>
      </c>
      <c r="AA24" s="244">
        <f>'IEPR Gas Prices Real'!AR13</f>
        <v>5.0967712088146637</v>
      </c>
      <c r="AB24" s="244">
        <f>'IEPR Gas Prices Real'!AS13</f>
        <v>5.0941555815308606</v>
      </c>
      <c r="AC24" s="244">
        <f>'IEPR Gas Prices Real'!AT13</f>
        <v>5.0916361950126579</v>
      </c>
      <c r="AD24" s="244">
        <f>'IEPR Gas Prices Real'!AU13</f>
        <v>5.0894527715095146</v>
      </c>
      <c r="AE24" s="244">
        <f>'IEPR Gas Prices Real'!AV13</f>
        <v>5.0877346854497612</v>
      </c>
      <c r="AF24" s="244">
        <f>'IEPR Gas Prices Real'!AW13</f>
        <v>5.0861100972099811</v>
      </c>
    </row>
    <row r="25" spans="1:33">
      <c r="B25" s="186">
        <v>36708</v>
      </c>
      <c r="C25" s="244">
        <f>'IEPR Gas Prices Real'!T14</f>
        <v>5.2312964616415103</v>
      </c>
      <c r="D25" s="244">
        <f>'IEPR Gas Prices Real'!U14</f>
        <v>5.2261264154806275</v>
      </c>
      <c r="E25" s="244">
        <f>'IEPR Gas Prices Real'!V14</f>
        <v>5.2214904566033615</v>
      </c>
      <c r="F25" s="244">
        <f>'IEPR Gas Prices Real'!W14</f>
        <v>5.2178809397661565</v>
      </c>
      <c r="G25" s="244">
        <f>'IEPR Gas Prices Real'!X14</f>
        <v>5.2141701888437817</v>
      </c>
      <c r="H25" s="244">
        <f>'IEPR Gas Prices Real'!Y14</f>
        <v>5.2101007139132571</v>
      </c>
      <c r="I25" s="244">
        <f>'IEPR Gas Prices Real'!Z14</f>
        <v>5.2067292447296998</v>
      </c>
      <c r="J25" s="244">
        <f>'IEPR Gas Prices Real'!AA14</f>
        <v>5.202674498680242</v>
      </c>
      <c r="K25" s="244">
        <f>'IEPR Gas Prices Real'!AB14</f>
        <v>5.1992417126149189</v>
      </c>
      <c r="L25" s="244">
        <f>'IEPR Gas Prices Real'!AC14</f>
        <v>5.1943414426796037</v>
      </c>
      <c r="M25" s="244">
        <f>'IEPR Gas Prices Real'!AD14</f>
        <v>5.1879378657789523</v>
      </c>
      <c r="N25" s="244">
        <f>'IEPR Gas Prices Real'!AE14</f>
        <v>5.1830975582571375</v>
      </c>
      <c r="O25" s="244">
        <f>'IEPR Gas Prices Real'!AF14</f>
        <v>5.1794100429253653</v>
      </c>
      <c r="P25" s="244">
        <f>'IEPR Gas Prices Real'!AG14</f>
        <v>5.1760560970596536</v>
      </c>
      <c r="Q25" s="244">
        <f>'IEPR Gas Prices Real'!AH14</f>
        <v>5.1721016879117609</v>
      </c>
      <c r="R25" s="244">
        <f>'IEPR Gas Prices Real'!AI14</f>
        <v>5.1678326126718117</v>
      </c>
      <c r="S25" s="244">
        <f>'IEPR Gas Prices Real'!AJ14</f>
        <v>5.1637919587607302</v>
      </c>
      <c r="T25" s="244">
        <f>'IEPR Gas Prices Real'!AK14</f>
        <v>5.159930588688491</v>
      </c>
      <c r="U25" s="244">
        <f>'IEPR Gas Prices Real'!AL14</f>
        <v>5.1561973585997469</v>
      </c>
      <c r="V25" s="244">
        <f>'IEPR Gas Prices Real'!AM14</f>
        <v>5.152638144719174</v>
      </c>
      <c r="W25" s="244">
        <f>'IEPR Gas Prices Real'!AN14</f>
        <v>5.1492089751373431</v>
      </c>
      <c r="X25" s="244">
        <f>'IEPR Gas Prices Real'!AO14</f>
        <v>5.1459528800549883</v>
      </c>
      <c r="Y25" s="244">
        <f>'IEPR Gas Prices Real'!AP14</f>
        <v>5.1428814079813687</v>
      </c>
      <c r="Z25" s="244">
        <f>'IEPR Gas Prices Real'!AQ14</f>
        <v>5.139975058002527</v>
      </c>
      <c r="AA25" s="244">
        <f>'IEPR Gas Prices Real'!AR14</f>
        <v>5.137191303570078</v>
      </c>
      <c r="AB25" s="244">
        <f>'IEPR Gas Prices Real'!AS14</f>
        <v>5.1345743143303961</v>
      </c>
      <c r="AC25" s="244">
        <f>'IEPR Gas Prices Real'!AT14</f>
        <v>5.1320315032671351</v>
      </c>
      <c r="AD25" s="244">
        <f>'IEPR Gas Prices Real'!AU14</f>
        <v>5.129890437231837</v>
      </c>
      <c r="AE25" s="244">
        <f>'IEPR Gas Prices Real'!AV14</f>
        <v>5.1281770518153396</v>
      </c>
      <c r="AF25" s="244">
        <f>'IEPR Gas Prices Real'!AW14</f>
        <v>5.1265368105203128</v>
      </c>
    </row>
    <row r="26" spans="1:33">
      <c r="B26" s="186">
        <v>36739</v>
      </c>
      <c r="C26" s="244">
        <f>'IEPR Gas Prices Real'!T15</f>
        <v>5.190714243252561</v>
      </c>
      <c r="D26" s="244">
        <f>'IEPR Gas Prices Real'!U15</f>
        <v>5.1855233494644253</v>
      </c>
      <c r="E26" s="244">
        <f>'IEPR Gas Prices Real'!V15</f>
        <v>5.1810419810802975</v>
      </c>
      <c r="F26" s="244">
        <f>'IEPR Gas Prices Real'!W15</f>
        <v>5.1775207212167382</v>
      </c>
      <c r="G26" s="244">
        <f>'IEPR Gas Prices Real'!X15</f>
        <v>5.1737808944659305</v>
      </c>
      <c r="H26" s="244">
        <f>'IEPR Gas Prices Real'!Y15</f>
        <v>5.1697329626435122</v>
      </c>
      <c r="I26" s="244">
        <f>'IEPR Gas Prices Real'!Z15</f>
        <v>5.1664932878198462</v>
      </c>
      <c r="J26" s="244">
        <f>'IEPR Gas Prices Real'!AA15</f>
        <v>5.1622971941171087</v>
      </c>
      <c r="K26" s="244">
        <f>'IEPR Gas Prices Real'!AB15</f>
        <v>5.159102162984472</v>
      </c>
      <c r="L26" s="244">
        <f>'IEPR Gas Prices Real'!AC15</f>
        <v>5.1538805226936084</v>
      </c>
      <c r="M26" s="244">
        <f>'IEPR Gas Prices Real'!AD15</f>
        <v>5.1475694746344152</v>
      </c>
      <c r="N26" s="244">
        <f>'IEPR Gas Prices Real'!AE15</f>
        <v>5.1429570099137321</v>
      </c>
      <c r="O26" s="244">
        <f>'IEPR Gas Prices Real'!AF15</f>
        <v>5.1393250604403251</v>
      </c>
      <c r="P26" s="244">
        <f>'IEPR Gas Prices Real'!AG15</f>
        <v>5.1360247139600883</v>
      </c>
      <c r="Q26" s="244">
        <f>'IEPR Gas Prices Real'!AH15</f>
        <v>5.1319956833246811</v>
      </c>
      <c r="R26" s="244">
        <f>'IEPR Gas Prices Real'!AI15</f>
        <v>5.1277897999860214</v>
      </c>
      <c r="S26" s="244">
        <f>'IEPR Gas Prices Real'!AJ15</f>
        <v>5.1237908595944051</v>
      </c>
      <c r="T26" s="244">
        <f>'IEPR Gas Prices Real'!AK15</f>
        <v>5.119976948182134</v>
      </c>
      <c r="U26" s="244">
        <f>'IEPR Gas Prices Real'!AL15</f>
        <v>5.1162778546634904</v>
      </c>
      <c r="V26" s="244">
        <f>'IEPR Gas Prices Real'!AM15</f>
        <v>5.1127667564505153</v>
      </c>
      <c r="W26" s="244">
        <f>'IEPR Gas Prices Real'!AN15</f>
        <v>5.1093675300173658</v>
      </c>
      <c r="X26" s="244">
        <f>'IEPR Gas Prices Real'!AO15</f>
        <v>5.1061584151067745</v>
      </c>
      <c r="Y26" s="244">
        <f>'IEPR Gas Prices Real'!AP15</f>
        <v>5.1031210228679189</v>
      </c>
      <c r="Z26" s="244">
        <f>'IEPR Gas Prices Real'!AQ15</f>
        <v>5.1002529211054108</v>
      </c>
      <c r="AA26" s="244">
        <f>'IEPR Gas Prices Real'!AR15</f>
        <v>5.0974965609514937</v>
      </c>
      <c r="AB26" s="244">
        <f>'IEPR Gas Prices Real'!AS15</f>
        <v>5.094919026330456</v>
      </c>
      <c r="AC26" s="244">
        <f>'IEPR Gas Prices Real'!AT15</f>
        <v>5.0923924452367801</v>
      </c>
      <c r="AD26" s="244">
        <f>'IEPR Gas Prices Real'!AU15</f>
        <v>5.0903271404508112</v>
      </c>
      <c r="AE26" s="244">
        <f>'IEPR Gas Prices Real'!AV15</f>
        <v>5.0886451802482755</v>
      </c>
      <c r="AF26" s="244">
        <f>'IEPR Gas Prices Real'!AW15</f>
        <v>5.0870148649327547</v>
      </c>
    </row>
    <row r="27" spans="1:33">
      <c r="B27" s="186">
        <v>36770</v>
      </c>
      <c r="C27" s="244">
        <f>'IEPR Gas Prices Real'!T16</f>
        <v>5.2635485092998415</v>
      </c>
      <c r="D27" s="244">
        <f>'IEPR Gas Prices Real'!U16</f>
        <v>5.2582229593992578</v>
      </c>
      <c r="E27" s="244">
        <f>'IEPR Gas Prices Real'!V16</f>
        <v>5.2537990194013329</v>
      </c>
      <c r="F27" s="244">
        <f>'IEPR Gas Prices Real'!W16</f>
        <v>5.2502894610336179</v>
      </c>
      <c r="G27" s="244">
        <f>'IEPR Gas Prices Real'!X16</f>
        <v>5.2464384752984019</v>
      </c>
      <c r="H27" s="244">
        <f>'IEPR Gas Prices Real'!Y16</f>
        <v>5.2423235759253757</v>
      </c>
      <c r="I27" s="244">
        <f>'IEPR Gas Prices Real'!Z16</f>
        <v>5.2391455815280219</v>
      </c>
      <c r="J27" s="244">
        <f>'IEPR Gas Prices Real'!AA16</f>
        <v>5.2347153558514963</v>
      </c>
      <c r="K27" s="244">
        <f>'IEPR Gas Prices Real'!AB16</f>
        <v>5.2316896127636561</v>
      </c>
      <c r="L27" s="244">
        <f>'IEPR Gas Prices Real'!AC16</f>
        <v>5.2260302218231667</v>
      </c>
      <c r="M27" s="244">
        <f>'IEPR Gas Prices Real'!AD16</f>
        <v>5.2196740797889474</v>
      </c>
      <c r="N27" s="244">
        <f>'IEPR Gas Prices Real'!AE16</f>
        <v>5.2151898876029144</v>
      </c>
      <c r="O27" s="244">
        <f>'IEPR Gas Prices Real'!AF16</f>
        <v>5.2115343179698392</v>
      </c>
      <c r="P27" s="244">
        <f>'IEPR Gas Prices Real'!AG16</f>
        <v>5.2082156342978152</v>
      </c>
      <c r="Q27" s="244">
        <f>'IEPR Gas Prices Real'!AH16</f>
        <v>5.2040232779407587</v>
      </c>
      <c r="R27" s="244">
        <f>'IEPR Gas Prices Real'!AI16</f>
        <v>5.1997888799283833</v>
      </c>
      <c r="S27" s="244">
        <f>'IEPR Gas Prices Real'!AJ16</f>
        <v>5.195744342696007</v>
      </c>
      <c r="T27" s="244">
        <f>'IEPR Gas Prices Real'!AK16</f>
        <v>5.1918946678766673</v>
      </c>
      <c r="U27" s="244">
        <f>'IEPR Gas Prices Real'!AL16</f>
        <v>5.1881489191299286</v>
      </c>
      <c r="V27" s="244">
        <f>'IEPR Gas Prices Real'!AM16</f>
        <v>5.1846093500560499</v>
      </c>
      <c r="W27" s="244">
        <f>'IEPR Gas Prices Real'!AN16</f>
        <v>5.1811658153527187</v>
      </c>
      <c r="X27" s="244">
        <f>'IEPR Gas Prices Real'!AO16</f>
        <v>5.1779337001260641</v>
      </c>
      <c r="Y27" s="244">
        <f>'IEPR Gas Prices Real'!AP16</f>
        <v>5.1748640863404161</v>
      </c>
      <c r="Z27" s="244">
        <f>'IEPR Gas Prices Real'!AQ16</f>
        <v>5.1719716650833405</v>
      </c>
      <c r="AA27" s="244">
        <f>'IEPR Gas Prices Real'!AR16</f>
        <v>5.1691825099894757</v>
      </c>
      <c r="AB27" s="244">
        <f>'IEPR Gas Prices Real'!AS16</f>
        <v>5.1665882331056663</v>
      </c>
      <c r="AC27" s="244">
        <f>'IEPR Gas Prices Real'!AT16</f>
        <v>5.1640226542288552</v>
      </c>
      <c r="AD27" s="244">
        <f>'IEPR Gas Prices Real'!AU16</f>
        <v>5.16198836062906</v>
      </c>
      <c r="AE27" s="244">
        <f>'IEPR Gas Prices Real'!AV16</f>
        <v>5.1603011904612428</v>
      </c>
      <c r="AF27" s="244">
        <f>'IEPR Gas Prices Real'!AW16</f>
        <v>5.158645161114868</v>
      </c>
    </row>
    <row r="28" spans="1:33">
      <c r="B28" s="186">
        <v>36800</v>
      </c>
      <c r="C28" s="244">
        <f>'IEPR Gas Prices Real'!T17</f>
        <v>5.23304062057223</v>
      </c>
      <c r="D28" s="244">
        <f>'IEPR Gas Prices Real'!U17</f>
        <v>5.2276844676176069</v>
      </c>
      <c r="E28" s="244">
        <f>'IEPR Gas Prices Real'!V17</f>
        <v>5.2234057991984235</v>
      </c>
      <c r="F28" s="244">
        <f>'IEPR Gas Prices Real'!W17</f>
        <v>5.219977348022204</v>
      </c>
      <c r="G28" s="244">
        <f>'IEPR Gas Prices Real'!X17</f>
        <v>5.2160903311196769</v>
      </c>
      <c r="H28" s="244">
        <f>'IEPR Gas Prices Real'!Y17</f>
        <v>5.2119891709916928</v>
      </c>
      <c r="I28" s="244">
        <f>'IEPR Gas Prices Real'!Z17</f>
        <v>5.2089361299828365</v>
      </c>
      <c r="J28" s="244">
        <f>'IEPR Gas Prices Real'!AA17</f>
        <v>5.2043573177769105</v>
      </c>
      <c r="K28" s="244">
        <f>'IEPR Gas Prices Real'!AB17</f>
        <v>5.2015620228173276</v>
      </c>
      <c r="L28" s="244">
        <f>'IEPR Gas Prices Real'!AC17</f>
        <v>5.1955730094528656</v>
      </c>
      <c r="M28" s="244">
        <f>'IEPR Gas Prices Real'!AD17</f>
        <v>5.189296923104159</v>
      </c>
      <c r="N28" s="244">
        <f>'IEPR Gas Prices Real'!AE17</f>
        <v>5.1850306250106994</v>
      </c>
      <c r="O28" s="244">
        <f>'IEPR Gas Prices Real'!AF17</f>
        <v>5.18142343101281</v>
      </c>
      <c r="P28" s="244">
        <f>'IEPR Gas Prices Real'!AG17</f>
        <v>5.1781517968367501</v>
      </c>
      <c r="Q28" s="244">
        <f>'IEPR Gas Prices Real'!AH17</f>
        <v>5.1738775508019339</v>
      </c>
      <c r="R28" s="244">
        <f>'IEPR Gas Prices Real'!AI17</f>
        <v>5.1696980242431732</v>
      </c>
      <c r="S28" s="244">
        <f>'IEPR Gas Prices Real'!AJ17</f>
        <v>5.1656873849376517</v>
      </c>
      <c r="T28" s="244">
        <f>'IEPR Gas Prices Real'!AK17</f>
        <v>5.1618776749220645</v>
      </c>
      <c r="U28" s="244">
        <f>'IEPR Gas Prices Real'!AL17</f>
        <v>5.1581588563003198</v>
      </c>
      <c r="V28" s="244">
        <f>'IEPR Gas Prices Real'!AM17</f>
        <v>5.1546604810310059</v>
      </c>
      <c r="W28" s="244">
        <f>'IEPR Gas Prices Real'!AN17</f>
        <v>5.1512402746333477</v>
      </c>
      <c r="X28" s="244">
        <f>'IEPR Gas Prices Real'!AO17</f>
        <v>5.1480487974470721</v>
      </c>
      <c r="Y28" s="244">
        <f>'IEPR Gas Prices Real'!AP17</f>
        <v>5.1450073147149338</v>
      </c>
      <c r="Z28" s="244">
        <f>'IEPR Gas Prices Real'!AQ17</f>
        <v>5.1421474929171689</v>
      </c>
      <c r="AA28" s="244">
        <f>'IEPR Gas Prices Real'!AR17</f>
        <v>5.1393803520836343</v>
      </c>
      <c r="AB28" s="244">
        <f>'IEPR Gas Prices Real'!AS17</f>
        <v>5.1368204269294511</v>
      </c>
      <c r="AC28" s="244">
        <f>'IEPR Gas Prices Real'!AT17</f>
        <v>5.1342661926513324</v>
      </c>
      <c r="AD28" s="244">
        <f>'IEPR Gas Prices Real'!AU17</f>
        <v>5.1323033420727482</v>
      </c>
      <c r="AE28" s="244">
        <f>'IEPR Gas Prices Real'!AV17</f>
        <v>5.1306442377340318</v>
      </c>
      <c r="AF28" s="244">
        <f>'IEPR Gas Prices Real'!AW17</f>
        <v>5.1289949848473668</v>
      </c>
    </row>
    <row r="29" spans="1:33">
      <c r="B29" s="186">
        <v>36831</v>
      </c>
      <c r="C29" s="244">
        <f>'IEPR Gas Prices Real'!T18</f>
        <v>5.4915078982220082</v>
      </c>
      <c r="D29" s="244">
        <f>'IEPR Gas Prices Real'!U18</f>
        <v>5.4858226811348629</v>
      </c>
      <c r="E29" s="244">
        <f>'IEPR Gas Prices Real'!V18</f>
        <v>5.4814582410253143</v>
      </c>
      <c r="F29" s="244">
        <f>'IEPR Gas Prices Real'!W18</f>
        <v>5.4779242302813058</v>
      </c>
      <c r="G29" s="244">
        <f>'IEPR Gas Prices Real'!X18</f>
        <v>5.4737839850405097</v>
      </c>
      <c r="H29" s="244">
        <f>'IEPR Gas Prices Real'!Y18</f>
        <v>5.4694696508188398</v>
      </c>
      <c r="I29" s="244">
        <f>'IEPR Gas Prices Real'!Z18</f>
        <v>5.4663776280498348</v>
      </c>
      <c r="J29" s="244">
        <f>'IEPR Gas Prices Real'!AA18</f>
        <v>5.4613897626041279</v>
      </c>
      <c r="K29" s="244">
        <f>'IEPR Gas Prices Real'!AB18</f>
        <v>5.4586798645183761</v>
      </c>
      <c r="L29" s="244">
        <f>'IEPR Gas Prices Real'!AC18</f>
        <v>5.452014662519157</v>
      </c>
      <c r="M29" s="244">
        <f>'IEPR Gas Prices Real'!AD18</f>
        <v>5.4454739477456604</v>
      </c>
      <c r="N29" s="244">
        <f>'IEPR Gas Prices Real'!AE18</f>
        <v>5.4411983433812248</v>
      </c>
      <c r="O29" s="244">
        <f>'IEPR Gas Prices Real'!AF18</f>
        <v>5.4374415198238317</v>
      </c>
      <c r="P29" s="244">
        <f>'IEPR Gas Prices Real'!AG18</f>
        <v>5.4340374873792685</v>
      </c>
      <c r="Q29" s="244">
        <f>'IEPR Gas Prices Real'!AH18</f>
        <v>5.4294406797630677</v>
      </c>
      <c r="R29" s="244">
        <f>'IEPR Gas Prices Real'!AI18</f>
        <v>5.4250865518506766</v>
      </c>
      <c r="S29" s="244">
        <f>'IEPR Gas Prices Real'!AJ18</f>
        <v>5.4208887949794766</v>
      </c>
      <c r="T29" s="244">
        <f>'IEPR Gas Prices Real'!AK18</f>
        <v>5.416909444470364</v>
      </c>
      <c r="U29" s="244">
        <f>'IEPR Gas Prices Real'!AL18</f>
        <v>5.4130124262718669</v>
      </c>
      <c r="V29" s="244">
        <f>'IEPR Gas Prices Real'!AM18</f>
        <v>5.4093629641254601</v>
      </c>
      <c r="W29" s="244">
        <f>'IEPR Gas Prices Real'!AN18</f>
        <v>5.4057773651893983</v>
      </c>
      <c r="X29" s="244">
        <f>'IEPR Gas Prices Real'!AO18</f>
        <v>5.4024512462770389</v>
      </c>
      <c r="Y29" s="244">
        <f>'IEPR Gas Prices Real'!AP18</f>
        <v>5.3992703920877991</v>
      </c>
      <c r="Z29" s="244">
        <f>'IEPR Gas Prices Real'!AQ18</f>
        <v>5.3962859390477966</v>
      </c>
      <c r="AA29" s="244">
        <f>'IEPR Gas Prices Real'!AR18</f>
        <v>5.3933882631153756</v>
      </c>
      <c r="AB29" s="244">
        <f>'IEPR Gas Prices Real'!AS18</f>
        <v>5.3907221718246516</v>
      </c>
      <c r="AC29" s="244">
        <f>'IEPR Gas Prices Real'!AT18</f>
        <v>5.3880380799330316</v>
      </c>
      <c r="AD29" s="244">
        <f>'IEPR Gas Prices Real'!AU18</f>
        <v>5.3860408892680098</v>
      </c>
      <c r="AE29" s="244">
        <f>'IEPR Gas Prices Real'!AV18</f>
        <v>5.3843190324095227</v>
      </c>
      <c r="AF29" s="244">
        <f>'IEPR Gas Prices Real'!AW18</f>
        <v>5.3825853587598216</v>
      </c>
    </row>
    <row r="30" spans="1:33">
      <c r="B30" s="186">
        <v>36861</v>
      </c>
      <c r="C30" s="244">
        <f>'IEPR Gas Prices Real'!T19</f>
        <v>5.5354917894024043</v>
      </c>
      <c r="D30" s="244">
        <f>'IEPR Gas Prices Real'!U19</f>
        <v>5.5296959941912123</v>
      </c>
      <c r="E30" s="244">
        <f>'IEPR Gas Prices Real'!V19</f>
        <v>5.5254231799430356</v>
      </c>
      <c r="F30" s="244">
        <f>'IEPR Gas Prices Real'!W19</f>
        <v>5.5219251607759796</v>
      </c>
      <c r="G30" s="244">
        <f>'IEPR Gas Prices Real'!X19</f>
        <v>5.5176900115681748</v>
      </c>
      <c r="H30" s="244">
        <f>'IEPR Gas Prices Real'!Y19</f>
        <v>5.5133304233471963</v>
      </c>
      <c r="I30" s="244">
        <f>'IEPR Gas Prices Real'!Z19</f>
        <v>5.5103263600576291</v>
      </c>
      <c r="J30" s="244">
        <f>'IEPR Gas Prices Real'!AA19</f>
        <v>5.505114152596267</v>
      </c>
      <c r="K30" s="244">
        <f>'IEPR Gas Prices Real'!AB19</f>
        <v>5.5026078340371134</v>
      </c>
      <c r="L30" s="244">
        <f>'IEPR Gas Prices Real'!AC19</f>
        <v>5.4955057601110369</v>
      </c>
      <c r="M30" s="244">
        <f>'IEPR Gas Prices Real'!AD19</f>
        <v>5.4889583844356338</v>
      </c>
      <c r="N30" s="244">
        <f>'IEPR Gas Prices Real'!AE19</f>
        <v>5.4848515909978266</v>
      </c>
      <c r="O30" s="244">
        <f>'IEPR Gas Prices Real'!AF19</f>
        <v>5.4810934451456035</v>
      </c>
      <c r="P30" s="244">
        <f>'IEPR Gas Prices Real'!AG19</f>
        <v>5.4776915789480283</v>
      </c>
      <c r="Q30" s="244">
        <f>'IEPR Gas Prices Real'!AH19</f>
        <v>5.4729455933246554</v>
      </c>
      <c r="R30" s="244">
        <f>'IEPR Gas Prices Real'!AI19</f>
        <v>5.4685886824714407</v>
      </c>
      <c r="S30" s="244">
        <f>'IEPR Gas Prices Real'!AJ19</f>
        <v>5.4643683670738845</v>
      </c>
      <c r="T30" s="244">
        <f>'IEPR Gas Prices Real'!AK19</f>
        <v>5.4603758218861786</v>
      </c>
      <c r="U30" s="244">
        <f>'IEPR Gas Prices Real'!AL19</f>
        <v>5.4564531136088528</v>
      </c>
      <c r="V30" s="244">
        <f>'IEPR Gas Prices Real'!AM19</f>
        <v>5.4527963012819525</v>
      </c>
      <c r="W30" s="244">
        <f>'IEPR Gas Prices Real'!AN19</f>
        <v>5.4491855488696066</v>
      </c>
      <c r="X30" s="244">
        <f>'IEPR Gas Prices Real'!AO19</f>
        <v>5.4458559670993267</v>
      </c>
      <c r="Y30" s="244">
        <f>'IEPR Gas Prices Real'!AP19</f>
        <v>5.4426605763022673</v>
      </c>
      <c r="Z30" s="244">
        <f>'IEPR Gas Prices Real'!AQ19</f>
        <v>5.4396689745166862</v>
      </c>
      <c r="AA30" s="244">
        <f>'IEPR Gas Prices Real'!AR19</f>
        <v>5.436754277825977</v>
      </c>
      <c r="AB30" s="244">
        <f>'IEPR Gas Prices Real'!AS19</f>
        <v>5.4340872702879741</v>
      </c>
      <c r="AC30" s="244">
        <f>'IEPR Gas Prices Real'!AT19</f>
        <v>5.431377949757568</v>
      </c>
      <c r="AD30" s="244">
        <f>'IEPR Gas Prices Real'!AU19</f>
        <v>5.4294278815914154</v>
      </c>
      <c r="AE30" s="244">
        <f>'IEPR Gas Prices Real'!AV19</f>
        <v>5.4277115832670484</v>
      </c>
      <c r="AF30" s="244">
        <f>'IEPR Gas Prices Real'!AW19</f>
        <v>5.4259610378617884</v>
      </c>
    </row>
    <row r="31" spans="1:33">
      <c r="B31" s="187"/>
      <c r="C31" s="185"/>
      <c r="D31" s="185"/>
      <c r="E31" s="185"/>
      <c r="F31" s="185"/>
      <c r="G31" s="188"/>
      <c r="H31" s="188"/>
      <c r="I31" s="188"/>
      <c r="J31" s="188"/>
      <c r="K31" s="188"/>
      <c r="L31" s="188"/>
      <c r="M31" s="188"/>
      <c r="N31" s="188"/>
      <c r="O31" s="188"/>
      <c r="P31" s="188"/>
      <c r="Q31" s="188"/>
      <c r="R31" s="189"/>
      <c r="S31" s="188"/>
      <c r="T31" s="188"/>
      <c r="U31" s="188"/>
      <c r="V31" s="188"/>
      <c r="W31" s="188"/>
      <c r="X31" s="188"/>
      <c r="Y31" s="188"/>
      <c r="Z31" s="188"/>
      <c r="AA31" s="188"/>
      <c r="AB31" s="188"/>
      <c r="AC31" s="188"/>
      <c r="AD31" s="188"/>
      <c r="AE31" s="188"/>
      <c r="AF31" s="188"/>
      <c r="AG31" s="188"/>
    </row>
    <row r="32" spans="1:33">
      <c r="B32" s="187"/>
      <c r="C32" s="185"/>
      <c r="D32" s="185"/>
      <c r="E32" s="185"/>
      <c r="F32" s="185"/>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row>
    <row r="33" spans="1:34" s="111" customFormat="1">
      <c r="A33" s="234"/>
      <c r="B33" s="234" t="s">
        <v>90</v>
      </c>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row>
    <row r="34" spans="1:34">
      <c r="C34" s="184"/>
      <c r="D34" s="190"/>
      <c r="E34" s="190"/>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row>
    <row r="35" spans="1:34">
      <c r="B35" s="185" t="s">
        <v>91</v>
      </c>
      <c r="C35" s="234">
        <f>'User Dashboard'!E$46</f>
        <v>2026</v>
      </c>
      <c r="D35" s="234">
        <f>'User Dashboard'!F$46</f>
        <v>2027</v>
      </c>
      <c r="E35" s="234">
        <f>'User Dashboard'!G$46</f>
        <v>2028</v>
      </c>
      <c r="F35" s="234">
        <f>'User Dashboard'!H$46</f>
        <v>2029</v>
      </c>
      <c r="G35" s="234">
        <f>'User Dashboard'!I$46</f>
        <v>2030</v>
      </c>
      <c r="H35" s="234">
        <f>'User Dashboard'!J$46</f>
        <v>2031</v>
      </c>
      <c r="I35" s="234">
        <f>'User Dashboard'!K$46</f>
        <v>2032</v>
      </c>
      <c r="J35" s="234">
        <f>'User Dashboard'!L$46</f>
        <v>2033</v>
      </c>
      <c r="K35" s="234">
        <f>'User Dashboard'!M$46</f>
        <v>2034</v>
      </c>
      <c r="L35" s="234">
        <f>'User Dashboard'!N$46</f>
        <v>2035</v>
      </c>
      <c r="M35" s="234">
        <f>'User Dashboard'!O$46</f>
        <v>2036</v>
      </c>
      <c r="N35" s="234">
        <f>'User Dashboard'!P$46</f>
        <v>2037</v>
      </c>
      <c r="O35" s="234">
        <f>'User Dashboard'!Q$46</f>
        <v>2038</v>
      </c>
      <c r="P35" s="234">
        <f>'User Dashboard'!R$46</f>
        <v>2039</v>
      </c>
      <c r="Q35" s="234">
        <f>'User Dashboard'!S$46</f>
        <v>2040</v>
      </c>
      <c r="R35" s="234">
        <f>'User Dashboard'!T$46</f>
        <v>2041</v>
      </c>
      <c r="S35" s="234">
        <f>'User Dashboard'!U$46</f>
        <v>2042</v>
      </c>
      <c r="T35" s="234">
        <f>'User Dashboard'!V$46</f>
        <v>2043</v>
      </c>
      <c r="U35" s="234">
        <f>'User Dashboard'!W$46</f>
        <v>2044</v>
      </c>
      <c r="V35" s="234">
        <f>'User Dashboard'!X$46</f>
        <v>2045</v>
      </c>
      <c r="W35" s="234">
        <f>'User Dashboard'!Y$46</f>
        <v>2046</v>
      </c>
      <c r="X35" s="234">
        <f>'User Dashboard'!Z$46</f>
        <v>2047</v>
      </c>
      <c r="Y35" s="234">
        <f>'User Dashboard'!AA$46</f>
        <v>2048</v>
      </c>
      <c r="Z35" s="234">
        <f>'User Dashboard'!AB$46</f>
        <v>2049</v>
      </c>
      <c r="AA35" s="234">
        <f>'User Dashboard'!AC$46</f>
        <v>2050</v>
      </c>
      <c r="AB35" s="234">
        <f>'User Dashboard'!AD$46</f>
        <v>2051</v>
      </c>
      <c r="AC35" s="234">
        <f>'User Dashboard'!AE$46</f>
        <v>2052</v>
      </c>
      <c r="AD35" s="234">
        <f>'User Dashboard'!AF$46</f>
        <v>2053</v>
      </c>
      <c r="AE35" s="234">
        <f>'User Dashboard'!AG$46</f>
        <v>2054</v>
      </c>
      <c r="AF35" s="234">
        <f>'User Dashboard'!AH$46</f>
        <v>2055</v>
      </c>
    </row>
    <row r="36" spans="1:34">
      <c r="B36" s="186">
        <v>36526</v>
      </c>
      <c r="C36" s="244">
        <f>C5/'Other Inputs'!$C$24</f>
        <v>0.6074632552666166</v>
      </c>
      <c r="D36" s="244">
        <f>D5/'Other Inputs'!$C$24</f>
        <v>0.61995546322925466</v>
      </c>
      <c r="E36" s="244">
        <f>E5/'Other Inputs'!$C$24</f>
        <v>0.63245974535768146</v>
      </c>
      <c r="F36" s="244">
        <f>F5/'Other Inputs'!$C$24</f>
        <v>0.6452831560624952</v>
      </c>
      <c r="G36" s="244">
        <f>G5/'Other Inputs'!$C$24</f>
        <v>0.65841668175389123</v>
      </c>
      <c r="H36" s="244">
        <f>H5/'Other Inputs'!$C$24</f>
        <v>0.67174832403603169</v>
      </c>
      <c r="I36" s="244">
        <f>I5/'Other Inputs'!$C$24</f>
        <v>0.68549089492972393</v>
      </c>
      <c r="J36" s="244">
        <f>J5/'Other Inputs'!$C$24</f>
        <v>0.69982175105484434</v>
      </c>
      <c r="K36" s="244">
        <f>K5/'Other Inputs'!$C$24</f>
        <v>0.71438453349741582</v>
      </c>
      <c r="L36" s="244">
        <f>L5/'Other Inputs'!$C$24</f>
        <v>0.72963258389387431</v>
      </c>
      <c r="M36" s="244">
        <f>M5/'Other Inputs'!$C$24</f>
        <v>0.74478605693004174</v>
      </c>
      <c r="N36" s="244">
        <f>N5/'Other Inputs'!$C$24</f>
        <v>0.76047205989429711</v>
      </c>
      <c r="O36" s="244">
        <f>O5/'Other Inputs'!$C$24</f>
        <v>0.7769576324034414</v>
      </c>
      <c r="P36" s="244">
        <f>P5/'Other Inputs'!$C$24</f>
        <v>0.7939860998716427</v>
      </c>
      <c r="Q36" s="244">
        <f>Q5/'Other Inputs'!$C$24</f>
        <v>0.8115312449746005</v>
      </c>
      <c r="R36" s="244">
        <f>R5/'Other Inputs'!$C$24</f>
        <v>0.82929686938937264</v>
      </c>
      <c r="S36" s="244">
        <f>S5/'Other Inputs'!$C$24</f>
        <v>0.84743084761135701</v>
      </c>
      <c r="T36" s="244">
        <f>T5/'Other Inputs'!$C$24</f>
        <v>0.86601081444052996</v>
      </c>
      <c r="U36" s="244">
        <f>U5/'Other Inputs'!$C$24</f>
        <v>0.88505409037752969</v>
      </c>
      <c r="V36" s="244">
        <f>V5/'Other Inputs'!$C$24</f>
        <v>0.9044862270645474</v>
      </c>
      <c r="W36" s="244">
        <f>W5/'Other Inputs'!$C$24</f>
        <v>0.9244080057879609</v>
      </c>
      <c r="X36" s="244">
        <f>X5/'Other Inputs'!$C$24</f>
        <v>0.94481747175645892</v>
      </c>
      <c r="Y36" s="244">
        <f>Y5/'Other Inputs'!$C$24</f>
        <v>0.96576553847587188</v>
      </c>
      <c r="Z36" s="244">
        <f>Z5/'Other Inputs'!$C$24</f>
        <v>0.98716433589895092</v>
      </c>
      <c r="AA36" s="244">
        <f>AA5/'Other Inputs'!$C$24</f>
        <v>1.0089964533407305</v>
      </c>
      <c r="AB36" s="244">
        <f>AB5/'Other Inputs'!$C$24</f>
        <v>1.0291343325619673</v>
      </c>
      <c r="AC36" s="244">
        <f>AC5/'Other Inputs'!$C$24</f>
        <v>1.0505010879650798</v>
      </c>
      <c r="AD36" s="244">
        <f>AD5/'Other Inputs'!$C$24</f>
        <v>1.0717758101570547</v>
      </c>
      <c r="AE36" s="244">
        <f>AE5/'Other Inputs'!$C$24</f>
        <v>1.0930327478964936</v>
      </c>
      <c r="AF36" s="244">
        <f>AF5/'Other Inputs'!$C$24</f>
        <v>1.1141918419308641</v>
      </c>
    </row>
    <row r="37" spans="1:34">
      <c r="B37" s="186">
        <v>36557</v>
      </c>
      <c r="C37" s="244">
        <f>C6/'Other Inputs'!$C$24</f>
        <v>0.59412447958552073</v>
      </c>
      <c r="D37" s="244">
        <f>D6/'Other Inputs'!$C$24</f>
        <v>0.60633526126164949</v>
      </c>
      <c r="E37" s="244">
        <f>E6/'Other Inputs'!$C$24</f>
        <v>0.61857897257071714</v>
      </c>
      <c r="F37" s="244">
        <f>F6/'Other Inputs'!$C$24</f>
        <v>0.63112828900442186</v>
      </c>
      <c r="G37" s="244">
        <f>G6/'Other Inputs'!$C$24</f>
        <v>0.64396653249367164</v>
      </c>
      <c r="H37" s="244">
        <f>H6/'Other Inputs'!$C$24</f>
        <v>0.65700432043634793</v>
      </c>
      <c r="I37" s="244">
        <f>I6/'Other Inputs'!$C$24</f>
        <v>0.67045896374462377</v>
      </c>
      <c r="J37" s="244">
        <f>J6/'Other Inputs'!$C$24</f>
        <v>0.68445268445561747</v>
      </c>
      <c r="K37" s="244">
        <f>K6/'Other Inputs'!$C$24</f>
        <v>0.69872421996137457</v>
      </c>
      <c r="L37" s="244">
        <f>L6/'Other Inputs'!$C$24</f>
        <v>0.71358832124457294</v>
      </c>
      <c r="M37" s="244">
        <f>M6/'Other Inputs'!$C$24</f>
        <v>0.72841460441793937</v>
      </c>
      <c r="N37" s="244">
        <f>N6/'Other Inputs'!$C$24</f>
        <v>0.74378328421840079</v>
      </c>
      <c r="O37" s="244">
        <f>O6/'Other Inputs'!$C$24</f>
        <v>0.75991106672489117</v>
      </c>
      <c r="P37" s="244">
        <f>P6/'Other Inputs'!$C$24</f>
        <v>0.77657010388185954</v>
      </c>
      <c r="Q37" s="244">
        <f>Q6/'Other Inputs'!$C$24</f>
        <v>0.79371413933947355</v>
      </c>
      <c r="R37" s="244">
        <f>R6/'Other Inputs'!$C$24</f>
        <v>0.81109447613333818</v>
      </c>
      <c r="S37" s="244">
        <f>S6/'Other Inputs'!$C$24</f>
        <v>0.82883210999807755</v>
      </c>
      <c r="T37" s="244">
        <f>T6/'Other Inputs'!$C$24</f>
        <v>0.84700719911199707</v>
      </c>
      <c r="U37" s="244">
        <f>U6/'Other Inputs'!$C$24</f>
        <v>0.86563347639768828</v>
      </c>
      <c r="V37" s="244">
        <f>V6/'Other Inputs'!$C$24</f>
        <v>0.88464277148146775</v>
      </c>
      <c r="W37" s="244">
        <f>W6/'Other Inputs'!$C$24</f>
        <v>0.90412809046382703</v>
      </c>
      <c r="X37" s="244">
        <f>X6/'Other Inputs'!$C$24</f>
        <v>0.92409374832213109</v>
      </c>
      <c r="Y37" s="244">
        <f>Y6/'Other Inputs'!$C$24</f>
        <v>0.94458424849282407</v>
      </c>
      <c r="Z37" s="244">
        <f>Z6/'Other Inputs'!$C$24</f>
        <v>0.96551671017562213</v>
      </c>
      <c r="AA37" s="244">
        <f>AA6/'Other Inputs'!$C$24</f>
        <v>0.98687120690261332</v>
      </c>
      <c r="AB37" s="244">
        <f>AB6/'Other Inputs'!$C$24</f>
        <v>1.0065713011185198</v>
      </c>
      <c r="AC37" s="244">
        <f>AC6/'Other Inputs'!$C$24</f>
        <v>1.0274689183423502</v>
      </c>
      <c r="AD37" s="244">
        <f>AD6/'Other Inputs'!$C$24</f>
        <v>1.0482893848099055</v>
      </c>
      <c r="AE37" s="244">
        <f>AE6/'Other Inputs'!$C$24</f>
        <v>1.0690843320410048</v>
      </c>
      <c r="AF37" s="244">
        <f>AF6/'Other Inputs'!$C$24</f>
        <v>1.0897792468652392</v>
      </c>
    </row>
    <row r="38" spans="1:34">
      <c r="B38" s="186">
        <v>36586</v>
      </c>
      <c r="C38" s="244">
        <f>C7/'Other Inputs'!$C$24</f>
        <v>0.54538935039613823</v>
      </c>
      <c r="D38" s="244">
        <f>D7/'Other Inputs'!$C$24</f>
        <v>0.55659196289505275</v>
      </c>
      <c r="E38" s="244">
        <f>E7/'Other Inputs'!$C$24</f>
        <v>0.56784419489120974</v>
      </c>
      <c r="F38" s="244">
        <f>F7/'Other Inputs'!$C$24</f>
        <v>0.57937098130430609</v>
      </c>
      <c r="G38" s="244">
        <f>G7/'Other Inputs'!$C$24</f>
        <v>0.59114979359137965</v>
      </c>
      <c r="H38" s="244">
        <f>H7/'Other Inputs'!$C$24</f>
        <v>0.60311708697115485</v>
      </c>
      <c r="I38" s="244">
        <f>I7/'Other Inputs'!$C$24</f>
        <v>0.6154807674421785</v>
      </c>
      <c r="J38" s="244">
        <f>J7/'Other Inputs'!$C$24</f>
        <v>0.62830598724282249</v>
      </c>
      <c r="K38" s="244">
        <f>K7/'Other Inputs'!$C$24</f>
        <v>0.64143303942777652</v>
      </c>
      <c r="L38" s="244">
        <f>L7/'Other Inputs'!$C$24</f>
        <v>0.65503275431599906</v>
      </c>
      <c r="M38" s="244">
        <f>M7/'Other Inputs'!$C$24</f>
        <v>0.66864795782183717</v>
      </c>
      <c r="N38" s="244">
        <f>N7/'Other Inputs'!$C$24</f>
        <v>0.6827808605087593</v>
      </c>
      <c r="O38" s="244">
        <f>O7/'Other Inputs'!$C$24</f>
        <v>0.69758956417282747</v>
      </c>
      <c r="P38" s="244">
        <f>P7/'Other Inputs'!$C$24</f>
        <v>0.71288620215722431</v>
      </c>
      <c r="Q38" s="244">
        <f>Q7/'Other Inputs'!$C$24</f>
        <v>0.7286093858753081</v>
      </c>
      <c r="R38" s="244">
        <f>R7/'Other Inputs'!$C$24</f>
        <v>0.7445684587168192</v>
      </c>
      <c r="S38" s="244">
        <f>S7/'Other Inputs'!$C$24</f>
        <v>0.76085279480735379</v>
      </c>
      <c r="T38" s="244">
        <f>T7/'Other Inputs'!$C$24</f>
        <v>0.77753985892928035</v>
      </c>
      <c r="U38" s="244">
        <f>U7/'Other Inputs'!$C$24</f>
        <v>0.79463931290393564</v>
      </c>
      <c r="V38" s="244">
        <f>V7/'Other Inputs'!$C$24</f>
        <v>0.81209284127137171</v>
      </c>
      <c r="W38" s="244">
        <f>W7/'Other Inputs'!$C$24</f>
        <v>0.8299807142573149</v>
      </c>
      <c r="X38" s="244">
        <f>X7/'Other Inputs'!$C$24</f>
        <v>0.8483126098179492</v>
      </c>
      <c r="Y38" s="244">
        <f>Y7/'Other Inputs'!$C$24</f>
        <v>0.86712452210722191</v>
      </c>
      <c r="Z38" s="244">
        <f>Z7/'Other Inputs'!$C$24</f>
        <v>0.88634317812843677</v>
      </c>
      <c r="AA38" s="244">
        <f>AA7/'Other Inputs'!$C$24</f>
        <v>0.90594762518605054</v>
      </c>
      <c r="AB38" s="244">
        <f>AB7/'Other Inputs'!$C$24</f>
        <v>0.92403579556890403</v>
      </c>
      <c r="AC38" s="244">
        <f>AC7/'Other Inputs'!$C$24</f>
        <v>0.94321924645396904</v>
      </c>
      <c r="AD38" s="244">
        <f>AD7/'Other Inputs'!$C$24</f>
        <v>0.96234368348502863</v>
      </c>
      <c r="AE38" s="244">
        <f>AE7/'Other Inputs'!$C$24</f>
        <v>0.98143723466521426</v>
      </c>
      <c r="AF38" s="244">
        <f>AF7/'Other Inputs'!$C$24</f>
        <v>1.0004349769454586</v>
      </c>
    </row>
    <row r="39" spans="1:34">
      <c r="B39" s="186">
        <v>36617</v>
      </c>
      <c r="C39" s="244">
        <f>C8/'Other Inputs'!$C$24</f>
        <v>0.53609110960499595</v>
      </c>
      <c r="D39" s="244">
        <f>D8/'Other Inputs'!$C$24</f>
        <v>0.54709630405380127</v>
      </c>
      <c r="E39" s="244">
        <f>E8/'Other Inputs'!$C$24</f>
        <v>0.55816933536381907</v>
      </c>
      <c r="F39" s="244">
        <f>F8/'Other Inputs'!$C$24</f>
        <v>0.56950635898495061</v>
      </c>
      <c r="G39" s="244">
        <f>G8/'Other Inputs'!$C$24</f>
        <v>0.58107813390438645</v>
      </c>
      <c r="H39" s="244">
        <f>H8/'Other Inputs'!$C$24</f>
        <v>0.59284039184994408</v>
      </c>
      <c r="I39" s="244">
        <f>I8/'Other Inputs'!$C$24</f>
        <v>0.60500577272669009</v>
      </c>
      <c r="J39" s="244">
        <f>J8/'Other Inputs'!$C$24</f>
        <v>0.61759206895460683</v>
      </c>
      <c r="K39" s="244">
        <f>K8/'Other Inputs'!$C$24</f>
        <v>0.63052106695687382</v>
      </c>
      <c r="L39" s="244">
        <f>L8/'Other Inputs'!$C$24</f>
        <v>0.6438445784434581</v>
      </c>
      <c r="M39" s="244">
        <f>M8/'Other Inputs'!$C$24</f>
        <v>0.65723267057725065</v>
      </c>
      <c r="N39" s="244">
        <f>N8/'Other Inputs'!$C$24</f>
        <v>0.67114909572799675</v>
      </c>
      <c r="O39" s="244">
        <f>O8/'Other Inputs'!$C$24</f>
        <v>0.68570912204151813</v>
      </c>
      <c r="P39" s="244">
        <f>P8/'Other Inputs'!$C$24</f>
        <v>0.70074901730209271</v>
      </c>
      <c r="Q39" s="244">
        <f>Q8/'Other Inputs'!$C$24</f>
        <v>0.71618983281577042</v>
      </c>
      <c r="R39" s="244">
        <f>R8/'Other Inputs'!$C$24</f>
        <v>0.73188116643072831</v>
      </c>
      <c r="S39" s="244">
        <f>S8/'Other Inputs'!$C$24</f>
        <v>0.7478895387152501</v>
      </c>
      <c r="T39" s="244">
        <f>T8/'Other Inputs'!$C$24</f>
        <v>0.76429491002226835</v>
      </c>
      <c r="U39" s="244">
        <f>U8/'Other Inputs'!$C$24</f>
        <v>0.78110388260493413</v>
      </c>
      <c r="V39" s="244">
        <f>V8/'Other Inputs'!$C$24</f>
        <v>0.79826332616802254</v>
      </c>
      <c r="W39" s="244">
        <f>W8/'Other Inputs'!$C$24</f>
        <v>0.81584712200499698</v>
      </c>
      <c r="X39" s="244">
        <f>X8/'Other Inputs'!$C$24</f>
        <v>0.8338704033863038</v>
      </c>
      <c r="Y39" s="244">
        <f>Y8/'Other Inputs'!$C$24</f>
        <v>0.85236377418928888</v>
      </c>
      <c r="Z39" s="244">
        <f>Z8/'Other Inputs'!$C$24</f>
        <v>0.87125797237552016</v>
      </c>
      <c r="AA39" s="244">
        <f>AA8/'Other Inputs'!$C$24</f>
        <v>0.89052978667027549</v>
      </c>
      <c r="AB39" s="244">
        <f>AB8/'Other Inputs'!$C$24</f>
        <v>0.90831355185667328</v>
      </c>
      <c r="AC39" s="244">
        <f>AC8/'Other Inputs'!$C$24</f>
        <v>0.92716998059795819</v>
      </c>
      <c r="AD39" s="244">
        <f>AD8/'Other Inputs'!$C$24</f>
        <v>0.94598001037945578</v>
      </c>
      <c r="AE39" s="244">
        <f>AE8/'Other Inputs'!$C$24</f>
        <v>0.96475234703351942</v>
      </c>
      <c r="AF39" s="244">
        <f>AF8/'Other Inputs'!$C$24</f>
        <v>0.98342659351311501</v>
      </c>
    </row>
    <row r="40" spans="1:34">
      <c r="B40" s="186">
        <v>36647</v>
      </c>
      <c r="C40" s="244">
        <f>C9/'Other Inputs'!$C$24</f>
        <v>0.55472983232864759</v>
      </c>
      <c r="D40" s="244">
        <f>D9/'Other Inputs'!$C$24</f>
        <v>0.5661110022087098</v>
      </c>
      <c r="E40" s="244">
        <f>E9/'Other Inputs'!$C$24</f>
        <v>0.57758209657803039</v>
      </c>
      <c r="F40" s="244">
        <f>F9/'Other Inputs'!$C$24</f>
        <v>0.58932027501958228</v>
      </c>
      <c r="G40" s="244">
        <f>G9/'Other Inputs'!$C$24</f>
        <v>0.60128793547813086</v>
      </c>
      <c r="H40" s="244">
        <f>H9/'Other Inputs'!$C$24</f>
        <v>0.61345809909624949</v>
      </c>
      <c r="I40" s="244">
        <f>I9/'Other Inputs'!$C$24</f>
        <v>0.62605936638141135</v>
      </c>
      <c r="J40" s="244">
        <f>J9/'Other Inputs'!$C$24</f>
        <v>0.63906228409806753</v>
      </c>
      <c r="K40" s="244">
        <f>K9/'Other Inputs'!$C$24</f>
        <v>0.65246744090347453</v>
      </c>
      <c r="L40" s="244">
        <f>L9/'Other Inputs'!$C$24</f>
        <v>0.66620828882334204</v>
      </c>
      <c r="M40" s="244">
        <f>M9/'Other Inputs'!$C$24</f>
        <v>0.68006704253133377</v>
      </c>
      <c r="N40" s="244">
        <f>N9/'Other Inputs'!$C$24</f>
        <v>0.69449263786301185</v>
      </c>
      <c r="O40" s="244">
        <f>O9/'Other Inputs'!$C$24</f>
        <v>0.70956281059175241</v>
      </c>
      <c r="P40" s="244">
        <f>P9/'Other Inputs'!$C$24</f>
        <v>0.72512979844260239</v>
      </c>
      <c r="Q40" s="244">
        <f>Q9/'Other Inputs'!$C$24</f>
        <v>0.74109265131359292</v>
      </c>
      <c r="R40" s="244">
        <f>R9/'Other Inputs'!$C$24</f>
        <v>0.75733403421984491</v>
      </c>
      <c r="S40" s="244">
        <f>S9/'Other Inputs'!$C$24</f>
        <v>0.77390070574407344</v>
      </c>
      <c r="T40" s="244">
        <f>T9/'Other Inputs'!$C$24</f>
        <v>0.79087935581944435</v>
      </c>
      <c r="U40" s="244">
        <f>U9/'Other Inputs'!$C$24</f>
        <v>0.80827382029944539</v>
      </c>
      <c r="V40" s="244">
        <f>V9/'Other Inputs'!$C$24</f>
        <v>0.82603345898493585</v>
      </c>
      <c r="W40" s="244">
        <f>W9/'Other Inputs'!$C$24</f>
        <v>0.84422952610718638</v>
      </c>
      <c r="X40" s="244">
        <f>X9/'Other Inputs'!$C$24</f>
        <v>0.8628834976841594</v>
      </c>
      <c r="Y40" s="244">
        <f>Y9/'Other Inputs'!$C$24</f>
        <v>0.88202209818507649</v>
      </c>
      <c r="Z40" s="244">
        <f>Z9/'Other Inputs'!$C$24</f>
        <v>0.90157651567311858</v>
      </c>
      <c r="AA40" s="244">
        <f>AA9/'Other Inputs'!$C$24</f>
        <v>0.9215200247156945</v>
      </c>
      <c r="AB40" s="244">
        <f>AB9/'Other Inputs'!$C$24</f>
        <v>0.93992620827569318</v>
      </c>
      <c r="AC40" s="244">
        <f>AC9/'Other Inputs'!$C$24</f>
        <v>0.95943826812470312</v>
      </c>
      <c r="AD40" s="244">
        <f>AD9/'Other Inputs'!$C$24</f>
        <v>0.97891433002784234</v>
      </c>
      <c r="AE40" s="244">
        <f>AE9/'Other Inputs'!$C$24</f>
        <v>0.99834379832346243</v>
      </c>
      <c r="AF40" s="244">
        <f>AF9/'Other Inputs'!$C$24</f>
        <v>1.0176677146422448</v>
      </c>
    </row>
    <row r="41" spans="1:34">
      <c r="B41" s="186">
        <v>36678</v>
      </c>
      <c r="C41" s="244">
        <f>C10/'Other Inputs'!$C$24</f>
        <v>0.56905150070588939</v>
      </c>
      <c r="D41" s="244">
        <f>D10/'Other Inputs'!$C$24</f>
        <v>0.58071967851258888</v>
      </c>
      <c r="E41" s="244">
        <f>E10/'Other Inputs'!$C$24</f>
        <v>0.59250034392180218</v>
      </c>
      <c r="F41" s="244">
        <f>F10/'Other Inputs'!$C$24</f>
        <v>0.60454874404982184</v>
      </c>
      <c r="G41" s="244">
        <f>G10/'Other Inputs'!$C$24</f>
        <v>0.61681877090771464</v>
      </c>
      <c r="H41" s="244">
        <f>H10/'Other Inputs'!$C$24</f>
        <v>0.62930206666254418</v>
      </c>
      <c r="I41" s="244">
        <f>I10/'Other Inputs'!$C$24</f>
        <v>0.64224192378220146</v>
      </c>
      <c r="J41" s="244">
        <f>J10/'Other Inputs'!$C$24</f>
        <v>0.65555902121843279</v>
      </c>
      <c r="K41" s="244">
        <f>K10/'Other Inputs'!$C$24</f>
        <v>0.66933760168393741</v>
      </c>
      <c r="L41" s="244">
        <f>L10/'Other Inputs'!$C$24</f>
        <v>0.68338611717817732</v>
      </c>
      <c r="M41" s="244">
        <f>M10/'Other Inputs'!$C$24</f>
        <v>0.69760798895440324</v>
      </c>
      <c r="N41" s="244">
        <f>N10/'Other Inputs'!$C$24</f>
        <v>0.71243199940690749</v>
      </c>
      <c r="O41" s="244">
        <f>O10/'Other Inputs'!$C$24</f>
        <v>0.7278952723553197</v>
      </c>
      <c r="P41" s="244">
        <f>P10/'Other Inputs'!$C$24</f>
        <v>0.74386845587242534</v>
      </c>
      <c r="Q41" s="244">
        <f>Q10/'Other Inputs'!$C$24</f>
        <v>0.76022823691827268</v>
      </c>
      <c r="R41" s="244">
        <f>R10/'Other Inputs'!$C$24</f>
        <v>0.77689354219568663</v>
      </c>
      <c r="S41" s="244">
        <f>S10/'Other Inputs'!$C$24</f>
        <v>0.79388968937629845</v>
      </c>
      <c r="T41" s="244">
        <f>T10/'Other Inputs'!$C$24</f>
        <v>0.81130965861109205</v>
      </c>
      <c r="U41" s="244">
        <f>U10/'Other Inputs'!$C$24</f>
        <v>0.82915431102776727</v>
      </c>
      <c r="V41" s="244">
        <f>V10/'Other Inputs'!$C$24</f>
        <v>0.84737614900161717</v>
      </c>
      <c r="W41" s="244">
        <f>W10/'Other Inputs'!$C$24</f>
        <v>0.86604293566092527</v>
      </c>
      <c r="X41" s="244">
        <f>X10/'Other Inputs'!$C$24</f>
        <v>0.8851826691454564</v>
      </c>
      <c r="Y41" s="244">
        <f>Y10/'Other Inputs'!$C$24</f>
        <v>0.90481769204886164</v>
      </c>
      <c r="Z41" s="244">
        <f>Z10/'Other Inputs'!$C$24</f>
        <v>0.92488034831688304</v>
      </c>
      <c r="AA41" s="244">
        <f>AA10/'Other Inputs'!$C$24</f>
        <v>0.94534044507294845</v>
      </c>
      <c r="AB41" s="244">
        <f>AB10/'Other Inputs'!$C$24</f>
        <v>0.96422605038467357</v>
      </c>
      <c r="AC41" s="244">
        <f>AC10/'Other Inputs'!$C$24</f>
        <v>0.98424189535766404</v>
      </c>
      <c r="AD41" s="244">
        <f>AD10/'Other Inputs'!$C$24</f>
        <v>1.0042331392545549</v>
      </c>
      <c r="AE41" s="244">
        <f>AE10/'Other Inputs'!$C$24</f>
        <v>1.024168799517752</v>
      </c>
      <c r="AF41" s="244">
        <f>AF10/'Other Inputs'!$C$24</f>
        <v>1.0439920260839193</v>
      </c>
    </row>
    <row r="42" spans="1:34">
      <c r="B42" s="186">
        <v>36708</v>
      </c>
      <c r="C42" s="244">
        <f>C11/'Other Inputs'!$C$24</f>
        <v>0.57354666681417532</v>
      </c>
      <c r="D42" s="244">
        <f>D11/'Other Inputs'!$C$24</f>
        <v>0.58530013728411023</v>
      </c>
      <c r="E42" s="244">
        <f>E11/'Other Inputs'!$C$24</f>
        <v>0.5971873884186496</v>
      </c>
      <c r="F42" s="244">
        <f>F11/'Other Inputs'!$C$24</f>
        <v>0.60933819417180157</v>
      </c>
      <c r="G42" s="244">
        <f>G11/'Other Inputs'!$C$24</f>
        <v>0.62169848651107962</v>
      </c>
      <c r="H42" s="244">
        <f>H11/'Other Inputs'!$C$24</f>
        <v>0.63427931466851628</v>
      </c>
      <c r="I42" s="244">
        <f>I11/'Other Inputs'!$C$24</f>
        <v>0.64733475384728756</v>
      </c>
      <c r="J42" s="244">
        <f>J11/'Other Inputs'!$C$24</f>
        <v>0.66073535360487567</v>
      </c>
      <c r="K42" s="244">
        <f>K11/'Other Inputs'!$C$24</f>
        <v>0.67465033441365141</v>
      </c>
      <c r="L42" s="244">
        <f>L11/'Other Inputs'!$C$24</f>
        <v>0.68876236059747253</v>
      </c>
      <c r="M42" s="244">
        <f>M11/'Other Inputs'!$C$24</f>
        <v>0.70310194091107769</v>
      </c>
      <c r="N42" s="244">
        <f>N11/'Other Inputs'!$C$24</f>
        <v>0.7180692454952301</v>
      </c>
      <c r="O42" s="244">
        <f>O11/'Other Inputs'!$C$24</f>
        <v>0.73365872938369603</v>
      </c>
      <c r="P42" s="244">
        <f>P11/'Other Inputs'!$C$24</f>
        <v>0.74976242297881968</v>
      </c>
      <c r="Q42" s="244">
        <f>Q11/'Other Inputs'!$C$24</f>
        <v>0.76623612339542679</v>
      </c>
      <c r="R42" s="244">
        <f>R11/'Other Inputs'!$C$24</f>
        <v>0.78303772423392703</v>
      </c>
      <c r="S42" s="244">
        <f>S11/'Other Inputs'!$C$24</f>
        <v>0.80016991270980409</v>
      </c>
      <c r="T42" s="244">
        <f>T11/'Other Inputs'!$C$24</f>
        <v>0.81773048819919736</v>
      </c>
      <c r="U42" s="244">
        <f>U11/'Other Inputs'!$C$24</f>
        <v>0.83571722012577376</v>
      </c>
      <c r="V42" s="244">
        <f>V11/'Other Inputs'!$C$24</f>
        <v>0.85408672146333087</v>
      </c>
      <c r="W42" s="244">
        <f>W11/'Other Inputs'!$C$24</f>
        <v>0.87290191700686903</v>
      </c>
      <c r="X42" s="244">
        <f>X11/'Other Inputs'!$C$24</f>
        <v>0.8921970417819296</v>
      </c>
      <c r="Y42" s="244">
        <f>Y11/'Other Inputs'!$C$24</f>
        <v>0.91198950220719488</v>
      </c>
      <c r="Z42" s="244">
        <f>Z11/'Other Inputs'!$C$24</f>
        <v>0.9322140638232721</v>
      </c>
      <c r="AA42" s="244">
        <f>AA11/'Other Inputs'!$C$24</f>
        <v>0.95283749542119422</v>
      </c>
      <c r="AB42" s="244">
        <f>AB11/'Other Inputs'!$C$24</f>
        <v>0.97187654210309449</v>
      </c>
      <c r="AC42" s="244">
        <f>AC11/'Other Inputs'!$C$24</f>
        <v>0.99205053549556066</v>
      </c>
      <c r="AD42" s="244">
        <f>AD11/'Other Inputs'!$C$24</f>
        <v>1.0122121589675934</v>
      </c>
      <c r="AE42" s="244">
        <f>AE11/'Other Inputs'!$C$24</f>
        <v>1.0323099099276063</v>
      </c>
      <c r="AF42" s="244">
        <f>AF11/'Other Inputs'!$C$24</f>
        <v>1.0522901489184837</v>
      </c>
    </row>
    <row r="43" spans="1:34">
      <c r="B43" s="186">
        <v>36739</v>
      </c>
      <c r="C43" s="244">
        <f>C12/'Other Inputs'!$C$24</f>
        <v>0.56909733073475843</v>
      </c>
      <c r="D43" s="244">
        <f>D12/'Other Inputs'!$C$24</f>
        <v>0.58075279605580721</v>
      </c>
      <c r="E43" s="244">
        <f>E12/'Other Inputs'!$C$24</f>
        <v>0.59256125347425148</v>
      </c>
      <c r="F43" s="244">
        <f>F12/'Other Inputs'!$C$24</f>
        <v>0.60462497381066704</v>
      </c>
      <c r="G43" s="244">
        <f>G12/'Other Inputs'!$C$24</f>
        <v>0.61688277043804363</v>
      </c>
      <c r="H43" s="244">
        <f>H12/'Other Inputs'!$C$24</f>
        <v>0.62936493181566533</v>
      </c>
      <c r="I43" s="244">
        <f>I12/'Other Inputs'!$C$24</f>
        <v>0.6423323555972893</v>
      </c>
      <c r="J43" s="244">
        <f>J12/'Other Inputs'!$C$24</f>
        <v>0.65560746935709102</v>
      </c>
      <c r="K43" s="244">
        <f>K12/'Other Inputs'!$C$24</f>
        <v>0.66944185170054937</v>
      </c>
      <c r="L43" s="244">
        <f>L12/'Other Inputs'!$C$24</f>
        <v>0.68339729958463269</v>
      </c>
      <c r="M43" s="244">
        <f>M12/'Other Inputs'!$C$24</f>
        <v>0.69763096286556092</v>
      </c>
      <c r="N43" s="244">
        <f>N12/'Other Inputs'!$C$24</f>
        <v>0.71250815139296009</v>
      </c>
      <c r="O43" s="244">
        <f>O12/'Other Inputs'!$C$24</f>
        <v>0.72798072801411695</v>
      </c>
      <c r="P43" s="244">
        <f>P12/'Other Inputs'!$C$24</f>
        <v>0.74396379440426197</v>
      </c>
      <c r="Q43" s="244">
        <f>Q12/'Other Inputs'!$C$24</f>
        <v>0.76029450210992378</v>
      </c>
      <c r="R43" s="244">
        <f>R12/'Other Inputs'!$C$24</f>
        <v>0.77697037738516839</v>
      </c>
      <c r="S43" s="244">
        <f>S12/'Other Inputs'!$C$24</f>
        <v>0.7939714298344609</v>
      </c>
      <c r="T43" s="244">
        <f>T12/'Other Inputs'!$C$24</f>
        <v>0.81139875380954884</v>
      </c>
      <c r="U43" s="244">
        <f>U12/'Other Inputs'!$C$24</f>
        <v>0.82924706110388013</v>
      </c>
      <c r="V43" s="244">
        <f>V12/'Other Inputs'!$C$24</f>
        <v>0.84747775294465644</v>
      </c>
      <c r="W43" s="244">
        <f>W12/'Other Inputs'!$C$24</f>
        <v>0.86614793324169792</v>
      </c>
      <c r="X43" s="244">
        <f>X12/'Other Inputs'!$C$24</f>
        <v>0.88529754139130201</v>
      </c>
      <c r="Y43" s="244">
        <f>Y12/'Other Inputs'!$C$24</f>
        <v>0.90493877500767061</v>
      </c>
      <c r="Z43" s="244">
        <f>Z12/'Other Inputs'!$C$24</f>
        <v>0.92500983924187996</v>
      </c>
      <c r="AA43" s="244">
        <f>AA12/'Other Inputs'!$C$24</f>
        <v>0.9454749821521643</v>
      </c>
      <c r="AB43" s="244">
        <f>AB12/'Other Inputs'!$C$24</f>
        <v>0.96437055585805764</v>
      </c>
      <c r="AC43" s="244">
        <f>AC12/'Other Inputs'!$C$24</f>
        <v>0.98438808277668721</v>
      </c>
      <c r="AD43" s="244">
        <f>AD12/'Other Inputs'!$C$24</f>
        <v>1.0044056666963455</v>
      </c>
      <c r="AE43" s="244">
        <f>AE12/'Other Inputs'!$C$24</f>
        <v>1.0243520835178843</v>
      </c>
      <c r="AF43" s="244">
        <f>AF12/'Other Inputs'!$C$24</f>
        <v>1.0441777417428375</v>
      </c>
    </row>
    <row r="44" spans="1:34">
      <c r="B44" s="186">
        <v>36770</v>
      </c>
      <c r="C44" s="244">
        <f>C13/'Other Inputs'!$C$24</f>
        <v>0.57708270316157129</v>
      </c>
      <c r="D44" s="244">
        <f>D13/'Other Inputs'!$C$24</f>
        <v>0.58889479039205495</v>
      </c>
      <c r="E44" s="244">
        <f>E13/'Other Inputs'!$C$24</f>
        <v>0.60088255293177828</v>
      </c>
      <c r="F44" s="244">
        <f>F13/'Other Inputs'!$C$24</f>
        <v>0.61312282437951537</v>
      </c>
      <c r="G44" s="244">
        <f>G13/'Other Inputs'!$C$24</f>
        <v>0.62554591460118414</v>
      </c>
      <c r="H44" s="244">
        <f>H13/'Other Inputs'!$C$24</f>
        <v>0.6382021361178456</v>
      </c>
      <c r="I44" s="244">
        <f>I13/'Other Inputs'!$C$24</f>
        <v>0.65136496560128143</v>
      </c>
      <c r="J44" s="244">
        <f>J13/'Other Inputs'!$C$24</f>
        <v>0.66480451593633094</v>
      </c>
      <c r="K44" s="244">
        <f>K13/'Other Inputs'!$C$24</f>
        <v>0.67886075352789521</v>
      </c>
      <c r="L44" s="244">
        <f>L13/'Other Inputs'!$C$24</f>
        <v>0.69296424808758583</v>
      </c>
      <c r="M44" s="244">
        <f>M13/'Other Inputs'!$C$24</f>
        <v>0.70740303206615596</v>
      </c>
      <c r="N44" s="244">
        <f>N13/'Other Inputs'!$C$24</f>
        <v>0.72251533481932428</v>
      </c>
      <c r="O44" s="244">
        <f>O13/'Other Inputs'!$C$24</f>
        <v>0.73820910377309057</v>
      </c>
      <c r="P44" s="244">
        <f>P13/'Other Inputs'!$C$24</f>
        <v>0.75442079841166287</v>
      </c>
      <c r="Q44" s="244">
        <f>Q13/'Other Inputs'!$C$24</f>
        <v>0.7709652406619345</v>
      </c>
      <c r="R44" s="244">
        <f>R13/'Other Inputs'!$C$24</f>
        <v>0.78787978562853178</v>
      </c>
      <c r="S44" s="244">
        <f>S13/'Other Inputs'!$C$24</f>
        <v>0.80512118426926038</v>
      </c>
      <c r="T44" s="244">
        <f>T13/'Other Inputs'!$C$24</f>
        <v>0.82279606061923827</v>
      </c>
      <c r="U44" s="244">
        <f>U13/'Other Inputs'!$C$24</f>
        <v>0.84089593371795801</v>
      </c>
      <c r="V44" s="244">
        <f>V13/'Other Inputs'!$C$24</f>
        <v>0.85938617800975836</v>
      </c>
      <c r="W44" s="244">
        <f>W13/'Other Inputs'!$C$24</f>
        <v>0.87831929028112798</v>
      </c>
      <c r="X44" s="244">
        <f>X13/'Other Inputs'!$C$24</f>
        <v>0.89774182497879185</v>
      </c>
      <c r="Y44" s="244">
        <f>Y13/'Other Inputs'!$C$24</f>
        <v>0.91766100512589988</v>
      </c>
      <c r="Z44" s="244">
        <f>Z13/'Other Inputs'!$C$24</f>
        <v>0.93801714395085389</v>
      </c>
      <c r="AA44" s="244">
        <f>AA13/'Other Inputs'!$C$24</f>
        <v>0.95877116991351419</v>
      </c>
      <c r="AB44" s="244">
        <f>AB13/'Other Inputs'!$C$24</f>
        <v>0.97793616355830282</v>
      </c>
      <c r="AC44" s="244">
        <f>AC13/'Other Inputs'!$C$24</f>
        <v>0.99823460479102211</v>
      </c>
      <c r="AD44" s="244">
        <f>AD13/'Other Inputs'!$C$24</f>
        <v>1.0185456096987187</v>
      </c>
      <c r="AE44" s="244">
        <f>AE13/'Other Inputs'!$C$24</f>
        <v>1.0387765483328297</v>
      </c>
      <c r="AF44" s="244">
        <f>AF13/'Other Inputs'!$C$24</f>
        <v>1.0588808167079622</v>
      </c>
    </row>
    <row r="45" spans="1:34">
      <c r="B45" s="186">
        <v>36800</v>
      </c>
      <c r="C45" s="244">
        <f>C14/'Other Inputs'!$C$24</f>
        <v>0.57373789217263915</v>
      </c>
      <c r="D45" s="244">
        <f>D14/'Other Inputs'!$C$24</f>
        <v>0.58547463136580125</v>
      </c>
      <c r="E45" s="244">
        <f>E14/'Other Inputs'!$C$24</f>
        <v>0.59740644817788491</v>
      </c>
      <c r="F45" s="244">
        <f>F14/'Other Inputs'!$C$24</f>
        <v>0.60958301034061291</v>
      </c>
      <c r="G45" s="244">
        <f>G14/'Other Inputs'!$C$24</f>
        <v>0.6219274298527</v>
      </c>
      <c r="H45" s="244">
        <f>H14/'Other Inputs'!$C$24</f>
        <v>0.63450921603266697</v>
      </c>
      <c r="I45" s="244">
        <f>I14/'Other Inputs'!$C$24</f>
        <v>0.64760912830675366</v>
      </c>
      <c r="J45" s="244">
        <f>J14/'Other Inputs'!$C$24</f>
        <v>0.6609490702368066</v>
      </c>
      <c r="K45" s="244">
        <f>K14/'Other Inputs'!$C$24</f>
        <v>0.67495141640608902</v>
      </c>
      <c r="L45" s="244">
        <f>L14/'Other Inputs'!$C$24</f>
        <v>0.68892566461730764</v>
      </c>
      <c r="M45" s="244">
        <f>M14/'Other Inputs'!$C$24</f>
        <v>0.70328612890019471</v>
      </c>
      <c r="N45" s="244">
        <f>N14/'Other Inputs'!$C$24</f>
        <v>0.71833705364848588</v>
      </c>
      <c r="O45" s="244">
        <f>O14/'Other Inputs'!$C$24</f>
        <v>0.73394392397801256</v>
      </c>
      <c r="P45" s="244">
        <f>P14/'Other Inputs'!$C$24</f>
        <v>0.75006598942270031</v>
      </c>
      <c r="Q45" s="244">
        <f>Q14/'Other Inputs'!$C$24</f>
        <v>0.76649921379440866</v>
      </c>
      <c r="R45" s="244">
        <f>R14/'Other Inputs'!$C$24</f>
        <v>0.78332037418431777</v>
      </c>
      <c r="S45" s="244">
        <f>S14/'Other Inputs'!$C$24</f>
        <v>0.8004636238063485</v>
      </c>
      <c r="T45" s="244">
        <f>T14/'Other Inputs'!$C$24</f>
        <v>0.81803905664774135</v>
      </c>
      <c r="U45" s="244">
        <f>U14/'Other Inputs'!$C$24</f>
        <v>0.83603513995924794</v>
      </c>
      <c r="V45" s="244">
        <f>V14/'Other Inputs'!$C$24</f>
        <v>0.85442193820895851</v>
      </c>
      <c r="W45" s="244">
        <f>W14/'Other Inputs'!$C$24</f>
        <v>0.87324626605788624</v>
      </c>
      <c r="X45" s="244">
        <f>X14/'Other Inputs'!$C$24</f>
        <v>0.89256042857163076</v>
      </c>
      <c r="Y45" s="244">
        <f>Y14/'Other Inputs'!$C$24</f>
        <v>0.91236649021642136</v>
      </c>
      <c r="Z45" s="244">
        <f>Z14/'Other Inputs'!$C$24</f>
        <v>0.93260806853288969</v>
      </c>
      <c r="AA45" s="244">
        <f>AA14/'Other Inputs'!$C$24</f>
        <v>0.95324351641199601</v>
      </c>
      <c r="AB45" s="244">
        <f>AB14/'Other Inputs'!$C$24</f>
        <v>0.97230168818382234</v>
      </c>
      <c r="AC45" s="244">
        <f>AC14/'Other Inputs'!$C$24</f>
        <v>0.99248251351417738</v>
      </c>
      <c r="AD45" s="244">
        <f>AD14/'Other Inputs'!$C$24</f>
        <v>1.0126882649679623</v>
      </c>
      <c r="AE45" s="244">
        <f>AE14/'Other Inputs'!$C$24</f>
        <v>1.0328065582390367</v>
      </c>
      <c r="AF45" s="244">
        <f>AF14/'Other Inputs'!$C$24</f>
        <v>1.0527947220297846</v>
      </c>
    </row>
    <row r="46" spans="1:34">
      <c r="B46" s="186">
        <v>36831</v>
      </c>
      <c r="C46" s="244">
        <f>C15/'Other Inputs'!$C$24</f>
        <v>0.60207561813857446</v>
      </c>
      <c r="D46" s="244">
        <f>D15/'Other Inputs'!$C$24</f>
        <v>0.61438482599147592</v>
      </c>
      <c r="E46" s="244">
        <f>E15/'Other Inputs'!$C$24</f>
        <v>0.62692017899678665</v>
      </c>
      <c r="F46" s="244">
        <f>F15/'Other Inputs'!$C$24</f>
        <v>0.63970575350827341</v>
      </c>
      <c r="G46" s="244">
        <f>G15/'Other Inputs'!$C$24</f>
        <v>0.6526528854523026</v>
      </c>
      <c r="H46" s="244">
        <f>H15/'Other Inputs'!$C$24</f>
        <v>0.66585497137462446</v>
      </c>
      <c r="I46" s="244">
        <f>I15/'Other Inputs'!$C$24</f>
        <v>0.67961594505259515</v>
      </c>
      <c r="J46" s="244">
        <f>J15/'Other Inputs'!$C$24</f>
        <v>0.69359197791129534</v>
      </c>
      <c r="K46" s="244">
        <f>K15/'Other Inputs'!$C$24</f>
        <v>0.7083148658234244</v>
      </c>
      <c r="L46" s="244">
        <f>L15/'Other Inputs'!$C$24</f>
        <v>0.72292946669127001</v>
      </c>
      <c r="M46" s="244">
        <f>M15/'Other Inputs'!$C$24</f>
        <v>0.73800484911278164</v>
      </c>
      <c r="N46" s="244">
        <f>N15/'Other Inputs'!$C$24</f>
        <v>0.75382667316327123</v>
      </c>
      <c r="O46" s="244">
        <f>O15/'Other Inputs'!$C$24</f>
        <v>0.77020865377921766</v>
      </c>
      <c r="P46" s="244">
        <f>P15/'Other Inputs'!$C$24</f>
        <v>0.78713156053499067</v>
      </c>
      <c r="Q46" s="244">
        <f>Q15/'Other Inputs'!$C$24</f>
        <v>0.80436036058424443</v>
      </c>
      <c r="R46" s="244">
        <f>R15/'Other Inputs'!$C$24</f>
        <v>0.82201722573536706</v>
      </c>
      <c r="S46" s="244">
        <f>S15/'Other Inputs'!$C$24</f>
        <v>0.84000907637829825</v>
      </c>
      <c r="T46" s="244">
        <f>T15/'Other Inputs'!$C$24</f>
        <v>0.85845573470852954</v>
      </c>
      <c r="U46" s="244">
        <f>U15/'Other Inputs'!$C$24</f>
        <v>0.87734184376113455</v>
      </c>
      <c r="V46" s="244">
        <f>V15/'Other Inputs'!$C$24</f>
        <v>0.89664070122410655</v>
      </c>
      <c r="W46" s="244">
        <f>W15/'Other Inputs'!$C$24</f>
        <v>0.91639578967763824</v>
      </c>
      <c r="X46" s="244">
        <f>X15/'Other Inputs'!$C$24</f>
        <v>0.93666831637369508</v>
      </c>
      <c r="Y46" s="244">
        <f>Y15/'Other Inputs'!$C$24</f>
        <v>0.95745507752140568</v>
      </c>
      <c r="Z46" s="244">
        <f>Z15/'Other Inputs'!$C$24</f>
        <v>0.97870001080259217</v>
      </c>
      <c r="AA46" s="244">
        <f>AA15/'Other Inputs'!$C$24</f>
        <v>1.000356471227686</v>
      </c>
      <c r="AB46" s="244">
        <f>AB15/'Other Inputs'!$C$24</f>
        <v>1.020360423875696</v>
      </c>
      <c r="AC46" s="244">
        <f>AC15/'Other Inputs'!$C$24</f>
        <v>1.0415380457164363</v>
      </c>
      <c r="AD46" s="244">
        <f>AD15/'Other Inputs'!$C$24</f>
        <v>1.0627548762533781</v>
      </c>
      <c r="AE46" s="244">
        <f>AE15/'Other Inputs'!$C$24</f>
        <v>1.0838716836815485</v>
      </c>
      <c r="AF46" s="244">
        <f>AF15/'Other Inputs'!$C$24</f>
        <v>1.1048475331558101</v>
      </c>
    </row>
    <row r="47" spans="1:34">
      <c r="B47" s="186">
        <v>36861</v>
      </c>
      <c r="C47" s="244">
        <f>C16/'Other Inputs'!$C$24</f>
        <v>0.60689790537941612</v>
      </c>
      <c r="D47" s="244">
        <f>D16/'Other Inputs'!$C$24</f>
        <v>0.61929841860548651</v>
      </c>
      <c r="E47" s="244">
        <f>E16/'Other Inputs'!$C$24</f>
        <v>0.63194849558042709</v>
      </c>
      <c r="F47" s="244">
        <f>F16/'Other Inputs'!$C$24</f>
        <v>0.64484413206443603</v>
      </c>
      <c r="G47" s="244">
        <f>G16/'Other Inputs'!$C$24</f>
        <v>0.65788791025056625</v>
      </c>
      <c r="H47" s="244">
        <f>H16/'Other Inputs'!$C$24</f>
        <v>0.67119459574423146</v>
      </c>
      <c r="I47" s="244">
        <f>I16/'Other Inputs'!$C$24</f>
        <v>0.68507993987140836</v>
      </c>
      <c r="J47" s="244">
        <f>J16/'Other Inputs'!$C$24</f>
        <v>0.69914493923723309</v>
      </c>
      <c r="K47" s="244">
        <f>K16/'Other Inputs'!$C$24</f>
        <v>0.71401493151839368</v>
      </c>
      <c r="L47" s="244">
        <f>L16/'Other Inputs'!$C$24</f>
        <v>0.72869632498753656</v>
      </c>
      <c r="M47" s="244">
        <f>M16/'Other Inputs'!$C$24</f>
        <v>0.74389813323204979</v>
      </c>
      <c r="N47" s="244">
        <f>N16/'Other Inputs'!$C$24</f>
        <v>0.75987441859486782</v>
      </c>
      <c r="O47" s="244">
        <f>O16/'Other Inputs'!$C$24</f>
        <v>0.77639190936263425</v>
      </c>
      <c r="P47" s="244">
        <f>P16/'Other Inputs'!$C$24</f>
        <v>0.79345494591833776</v>
      </c>
      <c r="Q47" s="244">
        <f>Q16/'Other Inputs'!$C$24</f>
        <v>0.81080552317530419</v>
      </c>
      <c r="R47" s="244">
        <f>R16/'Other Inputs'!$C$24</f>
        <v>0.82860873360988374</v>
      </c>
      <c r="S47" s="244">
        <f>S16/'Other Inputs'!$C$24</f>
        <v>0.84674657581384682</v>
      </c>
      <c r="T47" s="244">
        <f>T16/'Other Inputs'!$C$24</f>
        <v>0.86534415721994906</v>
      </c>
      <c r="U47" s="244">
        <f>U16/'Other Inputs'!$C$24</f>
        <v>0.88438271670232849</v>
      </c>
      <c r="V47" s="244">
        <f>V16/'Other Inputs'!$C$24</f>
        <v>0.90384008831326579</v>
      </c>
      <c r="W47" s="244">
        <f>W16/'Other Inputs'!$C$24</f>
        <v>0.92375441251295032</v>
      </c>
      <c r="X47" s="244">
        <f>X16/'Other Inputs'!$C$24</f>
        <v>0.94419375712677911</v>
      </c>
      <c r="Y47" s="244">
        <f>Y16/'Other Inputs'!$C$24</f>
        <v>0.96514947864856759</v>
      </c>
      <c r="Z47" s="244">
        <f>Z16/'Other Inputs'!$C$24</f>
        <v>0.98656819602510171</v>
      </c>
      <c r="AA47" s="244">
        <f>AA16/'Other Inputs'!$C$24</f>
        <v>1.0083999257929332</v>
      </c>
      <c r="AB47" s="244">
        <f>AB16/'Other Inputs'!$C$24</f>
        <v>1.028568606163538</v>
      </c>
      <c r="AC47" s="244">
        <f>AC16/'Other Inputs'!$C$24</f>
        <v>1.0499158861564974</v>
      </c>
      <c r="AD47" s="244">
        <f>AD16/'Other Inputs'!$C$24</f>
        <v>1.0713158468448831</v>
      </c>
      <c r="AE47" s="244">
        <f>AE16/'Other Inputs'!$C$24</f>
        <v>1.0926066707568103</v>
      </c>
      <c r="AF47" s="244">
        <f>AF16/'Other Inputs'!$C$24</f>
        <v>1.1137509706046513</v>
      </c>
    </row>
    <row r="48" spans="1:34">
      <c r="B48" s="266" t="s">
        <v>87</v>
      </c>
      <c r="C48" s="244">
        <f t="shared" ref="C48:AF48" si="0">AVERAGE(C36:C47)</f>
        <v>0.57577397035741196</v>
      </c>
      <c r="D48" s="244">
        <f t="shared" si="0"/>
        <v>0.5875762726546494</v>
      </c>
      <c r="E48" s="244">
        <f t="shared" si="0"/>
        <v>0.59950341718858635</v>
      </c>
      <c r="F48" s="244">
        <f t="shared" si="0"/>
        <v>0.61169805772507369</v>
      </c>
      <c r="G48" s="244">
        <f t="shared" si="0"/>
        <v>0.62410943710292088</v>
      </c>
      <c r="H48" s="244">
        <f t="shared" si="0"/>
        <v>0.63673962123381855</v>
      </c>
      <c r="I48" s="244">
        <f t="shared" si="0"/>
        <v>0.64983956477362037</v>
      </c>
      <c r="J48" s="244">
        <f t="shared" si="0"/>
        <v>0.66330226027566874</v>
      </c>
      <c r="K48" s="244">
        <f t="shared" si="0"/>
        <v>0.67725850465173787</v>
      </c>
      <c r="L48" s="244">
        <f t="shared" si="0"/>
        <v>0.69144733403876912</v>
      </c>
      <c r="M48" s="244">
        <f t="shared" si="0"/>
        <v>0.70584011402671898</v>
      </c>
      <c r="N48" s="244">
        <f t="shared" si="0"/>
        <v>0.72085340122779273</v>
      </c>
      <c r="O48" s="244">
        <f t="shared" si="0"/>
        <v>0.73650154304837645</v>
      </c>
      <c r="P48" s="244">
        <f t="shared" si="0"/>
        <v>0.75266576576655175</v>
      </c>
      <c r="Q48" s="244">
        <f t="shared" si="0"/>
        <v>0.76921053791318827</v>
      </c>
      <c r="R48" s="244">
        <f t="shared" si="0"/>
        <v>0.78607523065524865</v>
      </c>
      <c r="S48" s="244">
        <f t="shared" si="0"/>
        <v>0.80327312408870244</v>
      </c>
      <c r="T48" s="244">
        <f t="shared" si="0"/>
        <v>0.82090050401156811</v>
      </c>
      <c r="U48" s="244">
        <f t="shared" si="0"/>
        <v>0.83895656741513525</v>
      </c>
      <c r="V48" s="244">
        <f t="shared" si="0"/>
        <v>0.85739567951133644</v>
      </c>
      <c r="W48" s="244">
        <f t="shared" si="0"/>
        <v>0.87628350025503188</v>
      </c>
      <c r="X48" s="244">
        <f t="shared" si="0"/>
        <v>0.89565160919471554</v>
      </c>
      <c r="Y48" s="244">
        <f t="shared" si="0"/>
        <v>0.9155198501855254</v>
      </c>
      <c r="Z48" s="244">
        <f t="shared" si="0"/>
        <v>0.9358213652454267</v>
      </c>
      <c r="AA48" s="244">
        <f t="shared" si="0"/>
        <v>0.95652409190065013</v>
      </c>
      <c r="AB48" s="244">
        <f t="shared" si="0"/>
        <v>0.97563510162574529</v>
      </c>
      <c r="AC48" s="244">
        <f t="shared" si="0"/>
        <v>0.99588742210767556</v>
      </c>
      <c r="AD48" s="244">
        <f t="shared" si="0"/>
        <v>1.0161215651285602</v>
      </c>
      <c r="AE48" s="244">
        <f t="shared" si="0"/>
        <v>1.0362952261610969</v>
      </c>
      <c r="AF48" s="244">
        <f t="shared" si="0"/>
        <v>1.056352861095031</v>
      </c>
    </row>
    <row r="49" spans="2:32">
      <c r="B49" s="264"/>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row>
    <row r="50" spans="2:32">
      <c r="B50" s="185" t="str">
        <f>"CA Gas Price Forecast ($/therm) ($"&amp;'IEPR Gas Prices Real'!$C$4&amp;")"</f>
        <v>CA Gas Price Forecast ($/therm) ($2022)</v>
      </c>
      <c r="C50" s="234">
        <f>'User Dashboard'!E$46</f>
        <v>2026</v>
      </c>
      <c r="D50" s="234">
        <f>'User Dashboard'!F$46</f>
        <v>2027</v>
      </c>
      <c r="E50" s="234">
        <f>'User Dashboard'!G$46</f>
        <v>2028</v>
      </c>
      <c r="F50" s="234">
        <f>'User Dashboard'!H$46</f>
        <v>2029</v>
      </c>
      <c r="G50" s="234">
        <f>'User Dashboard'!I$46</f>
        <v>2030</v>
      </c>
      <c r="H50" s="234">
        <f>'User Dashboard'!J$46</f>
        <v>2031</v>
      </c>
      <c r="I50" s="234">
        <f>'User Dashboard'!K$46</f>
        <v>2032</v>
      </c>
      <c r="J50" s="234">
        <f>'User Dashboard'!L$46</f>
        <v>2033</v>
      </c>
      <c r="K50" s="234">
        <f>'User Dashboard'!M$46</f>
        <v>2034</v>
      </c>
      <c r="L50" s="234">
        <f>'User Dashboard'!N$46</f>
        <v>2035</v>
      </c>
      <c r="M50" s="234">
        <f>'User Dashboard'!O$46</f>
        <v>2036</v>
      </c>
      <c r="N50" s="234">
        <f>'User Dashboard'!P$46</f>
        <v>2037</v>
      </c>
      <c r="O50" s="234">
        <f>'User Dashboard'!Q$46</f>
        <v>2038</v>
      </c>
      <c r="P50" s="234">
        <f>'User Dashboard'!R$46</f>
        <v>2039</v>
      </c>
      <c r="Q50" s="234">
        <f>'User Dashboard'!S$46</f>
        <v>2040</v>
      </c>
      <c r="R50" s="234">
        <f>'User Dashboard'!T$46</f>
        <v>2041</v>
      </c>
      <c r="S50" s="234">
        <f>'User Dashboard'!U$46</f>
        <v>2042</v>
      </c>
      <c r="T50" s="234">
        <f>'User Dashboard'!V$46</f>
        <v>2043</v>
      </c>
      <c r="U50" s="234">
        <f>'User Dashboard'!W$46</f>
        <v>2044</v>
      </c>
      <c r="V50" s="234">
        <f>'User Dashboard'!X$46</f>
        <v>2045</v>
      </c>
      <c r="W50" s="234">
        <f>'User Dashboard'!Y$46</f>
        <v>2046</v>
      </c>
      <c r="X50" s="234">
        <f>'User Dashboard'!Z$46</f>
        <v>2047</v>
      </c>
      <c r="Y50" s="234">
        <f>'User Dashboard'!AA$46</f>
        <v>2048</v>
      </c>
      <c r="Z50" s="234">
        <f>'User Dashboard'!AB$46</f>
        <v>2049</v>
      </c>
      <c r="AA50" s="234">
        <f>'User Dashboard'!AC$46</f>
        <v>2050</v>
      </c>
      <c r="AB50" s="234">
        <f>'User Dashboard'!AD$46</f>
        <v>2051</v>
      </c>
      <c r="AC50" s="234">
        <f>'User Dashboard'!AE$46</f>
        <v>2052</v>
      </c>
      <c r="AD50" s="234">
        <f>'User Dashboard'!AF$46</f>
        <v>2053</v>
      </c>
      <c r="AE50" s="234">
        <f>'User Dashboard'!AG$46</f>
        <v>2054</v>
      </c>
      <c r="AF50" s="234">
        <f>'User Dashboard'!AH$46</f>
        <v>2055</v>
      </c>
    </row>
    <row r="51" spans="2:32">
      <c r="B51" s="186">
        <v>36526</v>
      </c>
      <c r="C51" s="244">
        <f>C19/'Other Inputs'!$C$24</f>
        <v>0.55406483233614101</v>
      </c>
      <c r="D51" s="244">
        <f>D19/'Other Inputs'!$C$24</f>
        <v>0.55355627248575656</v>
      </c>
      <c r="E51" s="244">
        <f>E19/'Other Inputs'!$C$24</f>
        <v>0.55298932774110054</v>
      </c>
      <c r="F51" s="244">
        <f>F19/'Other Inputs'!$C$24</f>
        <v>0.55256846082773581</v>
      </c>
      <c r="G51" s="244">
        <f>G19/'Other Inputs'!$C$24</f>
        <v>0.55221248053937477</v>
      </c>
      <c r="H51" s="244">
        <f>H19/'Other Inputs'!$C$24</f>
        <v>0.55178788613960239</v>
      </c>
      <c r="I51" s="244">
        <f>I19/'Other Inputs'!$C$24</f>
        <v>0.55136318086028901</v>
      </c>
      <c r="J51" s="244">
        <f>J19/'Other Inputs'!$C$24</f>
        <v>0.55104434142509973</v>
      </c>
      <c r="K51" s="244">
        <f>K19/'Other Inputs'!$C$24</f>
        <v>0.55054561984836636</v>
      </c>
      <c r="L51" s="244">
        <f>L19/'Other Inputs'!$C$24</f>
        <v>0.55025666111628424</v>
      </c>
      <c r="M51" s="244">
        <f>M19/'Other Inputs'!$C$24</f>
        <v>0.54955100559738534</v>
      </c>
      <c r="N51" s="244">
        <f>N19/'Other Inputs'!$C$24</f>
        <v>0.54891654272736701</v>
      </c>
      <c r="O51" s="244">
        <f>O19/'Other Inputs'!$C$24</f>
        <v>0.54850872797197958</v>
      </c>
      <c r="P51" s="244">
        <f>P19/'Other Inputs'!$C$24</f>
        <v>0.5481358450711965</v>
      </c>
      <c r="Q51" s="244">
        <f>Q19/'Other Inputs'!$C$24</f>
        <v>0.54778442229095714</v>
      </c>
      <c r="R51" s="244">
        <f>R19/'Other Inputs'!$C$24</f>
        <v>0.5473130188471893</v>
      </c>
      <c r="S51" s="244">
        <f>S19/'Other Inputs'!$C$24</f>
        <v>0.54687842256927399</v>
      </c>
      <c r="T51" s="244">
        <f>T19/'Other Inputs'!$C$24</f>
        <v>0.54645824706956414</v>
      </c>
      <c r="U51" s="244">
        <f>U19/'Other Inputs'!$C$24</f>
        <v>0.54605953462772017</v>
      </c>
      <c r="V51" s="244">
        <f>V19/'Other Inputs'!$C$24</f>
        <v>0.54566944056464961</v>
      </c>
      <c r="W51" s="244">
        <f>W19/'Other Inputs'!$C$24</f>
        <v>0.54530410660728612</v>
      </c>
      <c r="X51" s="244">
        <f>X19/'Other Inputs'!$C$24</f>
        <v>0.54494533855446103</v>
      </c>
      <c r="Y51" s="244">
        <f>Y19/'Other Inputs'!$C$24</f>
        <v>0.54461346542652045</v>
      </c>
      <c r="Z51" s="244">
        <f>Z19/'Other Inputs'!$C$24</f>
        <v>0.5442955927805182</v>
      </c>
      <c r="AA51" s="244">
        <f>AA19/'Other Inputs'!$C$24</f>
        <v>0.54399704360330281</v>
      </c>
      <c r="AB51" s="244">
        <f>AB19/'Other Inputs'!$C$24</f>
        <v>0.54370760904811521</v>
      </c>
      <c r="AC51" s="244">
        <f>AC19/'Other Inputs'!$C$24</f>
        <v>0.54344052896056461</v>
      </c>
      <c r="AD51" s="244">
        <f>AD19/'Other Inputs'!$C$24</f>
        <v>0.5431758975301052</v>
      </c>
      <c r="AE51" s="244">
        <f>AE19/'Other Inputs'!$C$24</f>
        <v>0.54298281947506877</v>
      </c>
      <c r="AF51" s="244">
        <f>AF19/'Other Inputs'!$C$24</f>
        <v>0.54281088704580127</v>
      </c>
    </row>
    <row r="52" spans="2:32">
      <c r="B52" s="186">
        <v>36557</v>
      </c>
      <c r="C52" s="244">
        <f>C20/'Other Inputs'!$C$24</f>
        <v>0.54189858779831779</v>
      </c>
      <c r="D52" s="244">
        <f>D20/'Other Inputs'!$C$24</f>
        <v>0.54139483722326465</v>
      </c>
      <c r="E52" s="244">
        <f>E20/'Other Inputs'!$C$24</f>
        <v>0.54085271467073148</v>
      </c>
      <c r="F52" s="244">
        <f>F20/'Other Inputs'!$C$24</f>
        <v>0.54044737409237509</v>
      </c>
      <c r="G52" s="244">
        <f>G20/'Other Inputs'!$C$24</f>
        <v>0.54009317526008838</v>
      </c>
      <c r="H52" s="244">
        <f>H20/'Other Inputs'!$C$24</f>
        <v>0.53967685841031277</v>
      </c>
      <c r="I52" s="244">
        <f>I20/'Other Inputs'!$C$24</f>
        <v>0.53927249744787187</v>
      </c>
      <c r="J52" s="244">
        <f>J20/'Other Inputs'!$C$24</f>
        <v>0.53894263528389452</v>
      </c>
      <c r="K52" s="244">
        <f>K20/'Other Inputs'!$C$24</f>
        <v>0.53847688568847329</v>
      </c>
      <c r="L52" s="244">
        <f>L20/'Other Inputs'!$C$24</f>
        <v>0.53815678702847691</v>
      </c>
      <c r="M52" s="244">
        <f>M20/'Other Inputs'!$C$24</f>
        <v>0.53747109606175247</v>
      </c>
      <c r="N52" s="244">
        <f>N20/'Other Inputs'!$C$24</f>
        <v>0.5368704130541232</v>
      </c>
      <c r="O52" s="244">
        <f>O20/'Other Inputs'!$C$24</f>
        <v>0.53647436513586377</v>
      </c>
      <c r="P52" s="244">
        <f>P20/'Other Inputs'!$C$24</f>
        <v>0.53611254682811693</v>
      </c>
      <c r="Q52" s="244">
        <f>Q20/'Other Inputs'!$C$24</f>
        <v>0.53575785772221951</v>
      </c>
      <c r="R52" s="244">
        <f>R20/'Other Inputs'!$C$24</f>
        <v>0.53529994226275768</v>
      </c>
      <c r="S52" s="244">
        <f>S20/'Other Inputs'!$C$24</f>
        <v>0.53487597031443856</v>
      </c>
      <c r="T52" s="244">
        <f>T20/'Other Inputs'!$C$24</f>
        <v>0.53446684679227874</v>
      </c>
      <c r="U52" s="244">
        <f>U20/'Other Inputs'!$C$24</f>
        <v>0.53407742918657908</v>
      </c>
      <c r="V52" s="244">
        <f>V20/'Other Inputs'!$C$24</f>
        <v>0.53369803958264683</v>
      </c>
      <c r="W52" s="244">
        <f>W20/'Other Inputs'!$C$24</f>
        <v>0.53334107617196236</v>
      </c>
      <c r="X52" s="244">
        <f>X20/'Other Inputs'!$C$24</f>
        <v>0.53299245154652497</v>
      </c>
      <c r="Y52" s="244">
        <f>Y20/'Other Inputs'!$C$24</f>
        <v>0.5326689351235685</v>
      </c>
      <c r="Z52" s="244">
        <f>Z20/'Other Inputs'!$C$24</f>
        <v>0.53235968013975188</v>
      </c>
      <c r="AA52" s="244">
        <f>AA20/'Other Inputs'!$C$24</f>
        <v>0.53206829141445267</v>
      </c>
      <c r="AB52" s="244">
        <f>AB20/'Other Inputs'!$C$24</f>
        <v>0.53178721003814844</v>
      </c>
      <c r="AC52" s="244">
        <f>AC20/'Other Inputs'!$C$24</f>
        <v>0.53152562988403773</v>
      </c>
      <c r="AD52" s="244">
        <f>AD20/'Other Inputs'!$C$24</f>
        <v>0.5312729789842553</v>
      </c>
      <c r="AE52" s="244">
        <f>AE20/'Other Inputs'!$C$24</f>
        <v>0.5310860319467906</v>
      </c>
      <c r="AF52" s="244">
        <f>AF20/'Other Inputs'!$C$24</f>
        <v>0.53091758296299862</v>
      </c>
    </row>
    <row r="53" spans="2:32">
      <c r="B53" s="186">
        <v>36586</v>
      </c>
      <c r="C53" s="244">
        <f>C21/'Other Inputs'!$C$24</f>
        <v>0.49744746923420963</v>
      </c>
      <c r="D53" s="244">
        <f>D21/'Other Inputs'!$C$24</f>
        <v>0.49697920342671631</v>
      </c>
      <c r="E53" s="244">
        <f>E21/'Other Inputs'!$C$24</f>
        <v>0.49649291025943532</v>
      </c>
      <c r="F53" s="244">
        <f>F21/'Other Inputs'!$C$24</f>
        <v>0.49612658935819143</v>
      </c>
      <c r="G53" s="244">
        <f>G21/'Other Inputs'!$C$24</f>
        <v>0.49579590392494766</v>
      </c>
      <c r="H53" s="244">
        <f>H21/'Other Inputs'!$C$24</f>
        <v>0.49541277678965623</v>
      </c>
      <c r="I53" s="244">
        <f>I21/'Other Inputs'!$C$24</f>
        <v>0.4950517012046407</v>
      </c>
      <c r="J53" s="244">
        <f>J21/'Other Inputs'!$C$24</f>
        <v>0.49473234924722265</v>
      </c>
      <c r="K53" s="244">
        <f>K21/'Other Inputs'!$C$24</f>
        <v>0.49432502206357498</v>
      </c>
      <c r="L53" s="244">
        <f>L21/'Other Inputs'!$C$24</f>
        <v>0.49399676531462394</v>
      </c>
      <c r="M53" s="244">
        <f>M21/'Other Inputs'!$C$24</f>
        <v>0.49337142417281338</v>
      </c>
      <c r="N53" s="244">
        <f>N21/'Other Inputs'!$C$24</f>
        <v>0.49283823713783681</v>
      </c>
      <c r="O53" s="244">
        <f>O21/'Other Inputs'!$C$24</f>
        <v>0.49247725813224197</v>
      </c>
      <c r="P53" s="244">
        <f>P21/'Other Inputs'!$C$24</f>
        <v>0.49214776042328295</v>
      </c>
      <c r="Q53" s="244">
        <f>Q21/'Other Inputs'!$C$24</f>
        <v>0.49181208239242408</v>
      </c>
      <c r="R53" s="244">
        <f>R21/'Other Inputs'!$C$24</f>
        <v>0.49139460900022475</v>
      </c>
      <c r="S53" s="244">
        <f>S21/'Other Inputs'!$C$24</f>
        <v>0.49100640766678288</v>
      </c>
      <c r="T53" s="244">
        <f>T21/'Other Inputs'!$C$24</f>
        <v>0.490632520116628</v>
      </c>
      <c r="U53" s="244">
        <f>U21/'Other Inputs'!$C$24</f>
        <v>0.49027554148257863</v>
      </c>
      <c r="V53" s="244">
        <f>V21/'Other Inputs'!$C$24</f>
        <v>0.48992923620437007</v>
      </c>
      <c r="W53" s="244">
        <f>W21/'Other Inputs'!$C$24</f>
        <v>0.4896018739080209</v>
      </c>
      <c r="X53" s="244">
        <f>X21/'Other Inputs'!$C$24</f>
        <v>0.48928392644756408</v>
      </c>
      <c r="Y53" s="244">
        <f>Y21/'Other Inputs'!$C$24</f>
        <v>0.48898792939579289</v>
      </c>
      <c r="Z53" s="244">
        <f>Z21/'Other Inputs'!$C$24</f>
        <v>0.48870554577629016</v>
      </c>
      <c r="AA53" s="244">
        <f>AA21/'Other Inputs'!$C$24</f>
        <v>0.4884386145549896</v>
      </c>
      <c r="AB53" s="244">
        <f>AB21/'Other Inputs'!$C$24</f>
        <v>0.48818242399214717</v>
      </c>
      <c r="AC53" s="244">
        <f>AC21/'Other Inputs'!$C$24</f>
        <v>0.48794196606845325</v>
      </c>
      <c r="AD53" s="244">
        <f>AD21/'Other Inputs'!$C$24</f>
        <v>0.48771570421318777</v>
      </c>
      <c r="AE53" s="244">
        <f>AE21/'Other Inputs'!$C$24</f>
        <v>0.48754582865141838</v>
      </c>
      <c r="AF53" s="244">
        <f>AF21/'Other Inputs'!$C$24</f>
        <v>0.48739092930919725</v>
      </c>
    </row>
    <row r="54" spans="2:32">
      <c r="B54" s="186">
        <v>36617</v>
      </c>
      <c r="C54" s="244">
        <f>C22/'Other Inputs'!$C$24</f>
        <v>0.48896658058736608</v>
      </c>
      <c r="D54" s="244">
        <f>D22/'Other Inputs'!$C$24</f>
        <v>0.4885005596777286</v>
      </c>
      <c r="E54" s="244">
        <f>E22/'Other Inputs'!$C$24</f>
        <v>0.4880337251408382</v>
      </c>
      <c r="F54" s="244">
        <f>F22/'Other Inputs'!$C$24</f>
        <v>0.48767932226243388</v>
      </c>
      <c r="G54" s="244">
        <f>G22/'Other Inputs'!$C$24</f>
        <v>0.48734882727420487</v>
      </c>
      <c r="H54" s="244">
        <f>H22/'Other Inputs'!$C$24</f>
        <v>0.48697128810329221</v>
      </c>
      <c r="I54" s="244">
        <f>I22/'Other Inputs'!$C$24</f>
        <v>0.48662631372167703</v>
      </c>
      <c r="J54" s="244">
        <f>J22/'Other Inputs'!$C$24</f>
        <v>0.4862961381144405</v>
      </c>
      <c r="K54" s="244">
        <f>K22/'Other Inputs'!$C$24</f>
        <v>0.48591563136981197</v>
      </c>
      <c r="L54" s="244">
        <f>L22/'Other Inputs'!$C$24</f>
        <v>0.48555913734199263</v>
      </c>
      <c r="M54" s="244">
        <f>M22/'Other Inputs'!$C$24</f>
        <v>0.48494849180710348</v>
      </c>
      <c r="N54" s="244">
        <f>N22/'Other Inputs'!$C$24</f>
        <v>0.48444230986318904</v>
      </c>
      <c r="O54" s="244">
        <f>O22/'Other Inputs'!$C$24</f>
        <v>0.48409002319250521</v>
      </c>
      <c r="P54" s="244">
        <f>P22/'Other Inputs'!$C$24</f>
        <v>0.48376873958346167</v>
      </c>
      <c r="Q54" s="244">
        <f>Q22/'Other Inputs'!$C$24</f>
        <v>0.48342887134545609</v>
      </c>
      <c r="R54" s="244">
        <f>R22/'Other Inputs'!$C$24</f>
        <v>0.48302134666389157</v>
      </c>
      <c r="S54" s="244">
        <f>S22/'Other Inputs'!$C$24</f>
        <v>0.48264073976244132</v>
      </c>
      <c r="T54" s="244">
        <f>T22/'Other Inputs'!$C$24</f>
        <v>0.48227487441340716</v>
      </c>
      <c r="U54" s="244">
        <f>U22/'Other Inputs'!$C$24</f>
        <v>0.48192446910133463</v>
      </c>
      <c r="V54" s="244">
        <f>V22/'Other Inputs'!$C$24</f>
        <v>0.48158599830431265</v>
      </c>
      <c r="W54" s="244">
        <f>W22/'Other Inputs'!$C$24</f>
        <v>0.48126453168678773</v>
      </c>
      <c r="X54" s="244">
        <f>X22/'Other Inputs'!$C$24</f>
        <v>0.48095404971620426</v>
      </c>
      <c r="Y54" s="244">
        <f>Y22/'Other Inputs'!$C$24</f>
        <v>0.48066406427987712</v>
      </c>
      <c r="Z54" s="244">
        <f>Z22/'Other Inputs'!$C$24</f>
        <v>0.48038797320107884</v>
      </c>
      <c r="AA54" s="244">
        <f>AA22/'Other Inputs'!$C$24</f>
        <v>0.48012613878407384</v>
      </c>
      <c r="AB54" s="244">
        <f>AB22/'Other Inputs'!$C$24</f>
        <v>0.47987611910348588</v>
      </c>
      <c r="AC54" s="244">
        <f>AC22/'Other Inputs'!$C$24</f>
        <v>0.47963943156740452</v>
      </c>
      <c r="AD54" s="244">
        <f>AD22/'Other Inputs'!$C$24</f>
        <v>0.47942259595138975</v>
      </c>
      <c r="AE54" s="244">
        <f>AE22/'Other Inputs'!$C$24</f>
        <v>0.47925732371291829</v>
      </c>
      <c r="AF54" s="244">
        <f>AF22/'Other Inputs'!$C$24</f>
        <v>0.479104801776504</v>
      </c>
    </row>
    <row r="55" spans="2:32">
      <c r="B55" s="186">
        <v>36647</v>
      </c>
      <c r="C55" s="244">
        <f>C23/'Other Inputs'!$C$24</f>
        <v>0.50596688585901139</v>
      </c>
      <c r="D55" s="244">
        <f>D23/'Other Inputs'!$C$24</f>
        <v>0.50547872352557366</v>
      </c>
      <c r="E55" s="244">
        <f>E23/'Other Inputs'!$C$24</f>
        <v>0.5050072161056649</v>
      </c>
      <c r="F55" s="244">
        <f>F23/'Other Inputs'!$C$24</f>
        <v>0.50464636220972525</v>
      </c>
      <c r="G55" s="244">
        <f>G23/'Other Inputs'!$C$24</f>
        <v>0.50429873903603584</v>
      </c>
      <c r="H55" s="244">
        <f>H23/'Other Inputs'!$C$24</f>
        <v>0.50390709678552414</v>
      </c>
      <c r="I55" s="244">
        <f>I23/'Other Inputs'!$C$24</f>
        <v>0.50356042101889664</v>
      </c>
      <c r="J55" s="244">
        <f>J23/'Other Inputs'!$C$24</f>
        <v>0.50320192954797416</v>
      </c>
      <c r="K55" s="244">
        <f>K23/'Other Inputs'!$C$24</f>
        <v>0.50282876355746309</v>
      </c>
      <c r="L55" s="244">
        <f>L23/'Other Inputs'!$C$24</f>
        <v>0.50242485972809214</v>
      </c>
      <c r="M55" s="244">
        <f>M23/'Other Inputs'!$C$24</f>
        <v>0.50179715855212259</v>
      </c>
      <c r="N55" s="244">
        <f>N23/'Other Inputs'!$C$24</f>
        <v>0.50129191830974273</v>
      </c>
      <c r="O55" s="244">
        <f>O23/'Other Inputs'!$C$24</f>
        <v>0.50093001010872229</v>
      </c>
      <c r="P55" s="244">
        <f>P23/'Other Inputs'!$C$24</f>
        <v>0.50060024340463627</v>
      </c>
      <c r="Q55" s="244">
        <f>Q23/'Other Inputs'!$C$24</f>
        <v>0.50023829936036046</v>
      </c>
      <c r="R55" s="244">
        <f>R23/'Other Inputs'!$C$24</f>
        <v>0.4998195360966301</v>
      </c>
      <c r="S55" s="244">
        <f>S23/'Other Inputs'!$C$24</f>
        <v>0.4994267064687567</v>
      </c>
      <c r="T55" s="244">
        <f>T23/'Other Inputs'!$C$24</f>
        <v>0.49904982618929905</v>
      </c>
      <c r="U55" s="244">
        <f>U23/'Other Inputs'!$C$24</f>
        <v>0.49868774232342716</v>
      </c>
      <c r="V55" s="244">
        <f>V23/'Other Inputs'!$C$24</f>
        <v>0.49833950143701394</v>
      </c>
      <c r="W55" s="244">
        <f>W23/'Other Inputs'!$C$24</f>
        <v>0.49800718364934715</v>
      </c>
      <c r="X55" s="244">
        <f>X23/'Other Inputs'!$C$24</f>
        <v>0.49768802317381278</v>
      </c>
      <c r="Y55" s="244">
        <f>Y23/'Other Inputs'!$C$24</f>
        <v>0.49738895450072651</v>
      </c>
      <c r="Z55" s="244">
        <f>Z23/'Other Inputs'!$C$24</f>
        <v>0.49710479419662323</v>
      </c>
      <c r="AA55" s="244">
        <f>AA23/'Other Inputs'!$C$24</f>
        <v>0.49683442137659695</v>
      </c>
      <c r="AB55" s="244">
        <f>AB23/'Other Inputs'!$C$24</f>
        <v>0.49657757516554951</v>
      </c>
      <c r="AC55" s="244">
        <f>AC23/'Other Inputs'!$C$24</f>
        <v>0.49633231788906879</v>
      </c>
      <c r="AD55" s="244">
        <f>AD23/'Other Inputs'!$C$24</f>
        <v>0.49611370659694004</v>
      </c>
      <c r="AE55" s="244">
        <f>AE23/'Other Inputs'!$C$24</f>
        <v>0.49594445496930029</v>
      </c>
      <c r="AF55" s="244">
        <f>AF23/'Other Inputs'!$C$24</f>
        <v>0.49578635753205136</v>
      </c>
    </row>
    <row r="56" spans="2:32">
      <c r="B56" s="186">
        <v>36678</v>
      </c>
      <c r="C56" s="244">
        <f>C24/'Other Inputs'!$C$24</f>
        <v>0.51902962293720312</v>
      </c>
      <c r="D56" s="244">
        <f>D24/'Other Inputs'!$C$24</f>
        <v>0.51852276439683842</v>
      </c>
      <c r="E56" s="244">
        <f>E24/'Other Inputs'!$C$24</f>
        <v>0.51805094201907032</v>
      </c>
      <c r="F56" s="244">
        <f>F24/'Other Inputs'!$C$24</f>
        <v>0.51768679510146387</v>
      </c>
      <c r="G56" s="244">
        <f>G24/'Other Inputs'!$C$24</f>
        <v>0.51732441319510114</v>
      </c>
      <c r="H56" s="244">
        <f>H24/'Other Inputs'!$C$24</f>
        <v>0.51692165753491748</v>
      </c>
      <c r="I56" s="244">
        <f>I24/'Other Inputs'!$C$24</f>
        <v>0.51657659145813883</v>
      </c>
      <c r="J56" s="244">
        <f>J24/'Other Inputs'!$C$24</f>
        <v>0.51619157102232471</v>
      </c>
      <c r="K56" s="244">
        <f>K24/'Other Inputs'!$C$24</f>
        <v>0.5158298752673588</v>
      </c>
      <c r="L56" s="244">
        <f>L24/'Other Inputs'!$C$24</f>
        <v>0.5153796189924279</v>
      </c>
      <c r="M56" s="244">
        <f>M24/'Other Inputs'!$C$24</f>
        <v>0.51473999583570662</v>
      </c>
      <c r="N56" s="244">
        <f>N24/'Other Inputs'!$C$24</f>
        <v>0.51424073370577483</v>
      </c>
      <c r="O56" s="244">
        <f>O24/'Other Inputs'!$C$24</f>
        <v>0.51387217691828613</v>
      </c>
      <c r="P56" s="244">
        <f>P24/'Other Inputs'!$C$24</f>
        <v>0.51353665353506073</v>
      </c>
      <c r="Q56" s="244">
        <f>Q24/'Other Inputs'!$C$24</f>
        <v>0.51315483926017258</v>
      </c>
      <c r="R56" s="244">
        <f>R24/'Other Inputs'!$C$24</f>
        <v>0.51272827089663742</v>
      </c>
      <c r="S56" s="244">
        <f>S24/'Other Inputs'!$C$24</f>
        <v>0.51232633582301834</v>
      </c>
      <c r="T56" s="244">
        <f>T24/'Other Inputs'!$C$24</f>
        <v>0.51194147519005284</v>
      </c>
      <c r="U56" s="244">
        <f>U24/'Other Inputs'!$C$24</f>
        <v>0.51157056064365214</v>
      </c>
      <c r="V56" s="244">
        <f>V24/'Other Inputs'!$C$24</f>
        <v>0.51121537878380752</v>
      </c>
      <c r="W56" s="244">
        <f>W24/'Other Inputs'!$C$24</f>
        <v>0.51087481540316471</v>
      </c>
      <c r="X56" s="244">
        <f>X24/'Other Inputs'!$C$24</f>
        <v>0.51054958628490721</v>
      </c>
      <c r="Y56" s="244">
        <f>Y24/'Other Inputs'!$C$24</f>
        <v>0.51024382131467827</v>
      </c>
      <c r="Z56" s="244">
        <f>Z24/'Other Inputs'!$C$24</f>
        <v>0.50995389433286853</v>
      </c>
      <c r="AA56" s="244">
        <f>AA24/'Other Inputs'!$C$24</f>
        <v>0.50967712088146633</v>
      </c>
      <c r="AB56" s="244">
        <f>AB24/'Other Inputs'!$C$24</f>
        <v>0.50941555815308603</v>
      </c>
      <c r="AC56" s="244">
        <f>AC24/'Other Inputs'!$C$24</f>
        <v>0.50916361950126576</v>
      </c>
      <c r="AD56" s="244">
        <f>AD24/'Other Inputs'!$C$24</f>
        <v>0.5089452771509515</v>
      </c>
      <c r="AE56" s="244">
        <f>AE24/'Other Inputs'!$C$24</f>
        <v>0.50877346854497607</v>
      </c>
      <c r="AF56" s="244">
        <f>AF24/'Other Inputs'!$C$24</f>
        <v>0.50861100972099815</v>
      </c>
    </row>
    <row r="57" spans="2:32">
      <c r="B57" s="186">
        <v>36708</v>
      </c>
      <c r="C57" s="244">
        <f>C25/'Other Inputs'!$C$24</f>
        <v>0.52312964616415103</v>
      </c>
      <c r="D57" s="244">
        <f>D25/'Other Inputs'!$C$24</f>
        <v>0.52261264154806275</v>
      </c>
      <c r="E57" s="244">
        <f>E25/'Other Inputs'!$C$24</f>
        <v>0.52214904566033615</v>
      </c>
      <c r="F57" s="244">
        <f>F25/'Other Inputs'!$C$24</f>
        <v>0.52178809397661563</v>
      </c>
      <c r="G57" s="244">
        <f>G25/'Other Inputs'!$C$24</f>
        <v>0.52141701888437819</v>
      </c>
      <c r="H57" s="244">
        <f>H25/'Other Inputs'!$C$24</f>
        <v>0.52101007139132571</v>
      </c>
      <c r="I57" s="244">
        <f>I25/'Other Inputs'!$C$24</f>
        <v>0.52067292447296998</v>
      </c>
      <c r="J57" s="244">
        <f>J25/'Other Inputs'!$C$24</f>
        <v>0.5202674498680242</v>
      </c>
      <c r="K57" s="244">
        <f>K25/'Other Inputs'!$C$24</f>
        <v>0.51992417126149193</v>
      </c>
      <c r="L57" s="244">
        <f>L25/'Other Inputs'!$C$24</f>
        <v>0.51943414426796042</v>
      </c>
      <c r="M57" s="244">
        <f>M25/'Other Inputs'!$C$24</f>
        <v>0.51879378657789521</v>
      </c>
      <c r="N57" s="244">
        <f>N25/'Other Inputs'!$C$24</f>
        <v>0.5183097558257137</v>
      </c>
      <c r="O57" s="244">
        <f>O25/'Other Inputs'!$C$24</f>
        <v>0.51794100429253653</v>
      </c>
      <c r="P57" s="244">
        <f>P25/'Other Inputs'!$C$24</f>
        <v>0.51760560970596536</v>
      </c>
      <c r="Q57" s="244">
        <f>Q25/'Other Inputs'!$C$24</f>
        <v>0.51721016879117609</v>
      </c>
      <c r="R57" s="244">
        <f>R25/'Other Inputs'!$C$24</f>
        <v>0.51678326126718122</v>
      </c>
      <c r="S57" s="244">
        <f>S25/'Other Inputs'!$C$24</f>
        <v>0.51637919587607306</v>
      </c>
      <c r="T57" s="244">
        <f>T25/'Other Inputs'!$C$24</f>
        <v>0.51599305886884905</v>
      </c>
      <c r="U57" s="244">
        <f>U25/'Other Inputs'!$C$24</f>
        <v>0.51561973585997467</v>
      </c>
      <c r="V57" s="244">
        <f>V25/'Other Inputs'!$C$24</f>
        <v>0.51526381447191738</v>
      </c>
      <c r="W57" s="244">
        <f>W25/'Other Inputs'!$C$24</f>
        <v>0.51492089751373427</v>
      </c>
      <c r="X57" s="244">
        <f>X25/'Other Inputs'!$C$24</f>
        <v>0.51459528800549881</v>
      </c>
      <c r="Y57" s="244">
        <f>Y25/'Other Inputs'!$C$24</f>
        <v>0.51428814079813689</v>
      </c>
      <c r="Z57" s="244">
        <f>Z25/'Other Inputs'!$C$24</f>
        <v>0.51399750580025272</v>
      </c>
      <c r="AA57" s="244">
        <f>AA25/'Other Inputs'!$C$24</f>
        <v>0.51371913035700778</v>
      </c>
      <c r="AB57" s="244">
        <f>AB25/'Other Inputs'!$C$24</f>
        <v>0.51345743143303957</v>
      </c>
      <c r="AC57" s="244">
        <f>AC25/'Other Inputs'!$C$24</f>
        <v>0.51320315032671349</v>
      </c>
      <c r="AD57" s="244">
        <f>AD25/'Other Inputs'!$C$24</f>
        <v>0.51298904372318366</v>
      </c>
      <c r="AE57" s="244">
        <f>AE25/'Other Inputs'!$C$24</f>
        <v>0.51281770518153391</v>
      </c>
      <c r="AF57" s="244">
        <f>AF25/'Other Inputs'!$C$24</f>
        <v>0.51265368105203124</v>
      </c>
    </row>
    <row r="58" spans="2:32">
      <c r="B58" s="186">
        <v>36739</v>
      </c>
      <c r="C58" s="244">
        <f>C26/'Other Inputs'!$C$24</f>
        <v>0.5190714243252561</v>
      </c>
      <c r="D58" s="244">
        <f>D26/'Other Inputs'!$C$24</f>
        <v>0.51855233494644248</v>
      </c>
      <c r="E58" s="244">
        <f>E26/'Other Inputs'!$C$24</f>
        <v>0.51810419810802977</v>
      </c>
      <c r="F58" s="244">
        <f>F26/'Other Inputs'!$C$24</f>
        <v>0.51775207212167385</v>
      </c>
      <c r="G58" s="244">
        <f>G26/'Other Inputs'!$C$24</f>
        <v>0.51737808944659303</v>
      </c>
      <c r="H58" s="244">
        <f>H26/'Other Inputs'!$C$24</f>
        <v>0.51697329626435118</v>
      </c>
      <c r="I58" s="244">
        <f>I26/'Other Inputs'!$C$24</f>
        <v>0.51664932878198466</v>
      </c>
      <c r="J58" s="244">
        <f>J26/'Other Inputs'!$C$24</f>
        <v>0.51622971941171092</v>
      </c>
      <c r="K58" s="244">
        <f>K26/'Other Inputs'!$C$24</f>
        <v>0.51591021629844724</v>
      </c>
      <c r="L58" s="244">
        <f>L26/'Other Inputs'!$C$24</f>
        <v>0.5153880522693608</v>
      </c>
      <c r="M58" s="244">
        <f>M26/'Other Inputs'!$C$24</f>
        <v>0.51475694746344147</v>
      </c>
      <c r="N58" s="244">
        <f>N26/'Other Inputs'!$C$24</f>
        <v>0.51429570099137323</v>
      </c>
      <c r="O58" s="244">
        <f>O26/'Other Inputs'!$C$24</f>
        <v>0.51393250604403251</v>
      </c>
      <c r="P58" s="244">
        <f>P26/'Other Inputs'!$C$24</f>
        <v>0.51360247139600879</v>
      </c>
      <c r="Q58" s="244">
        <f>Q26/'Other Inputs'!$C$24</f>
        <v>0.51319956833246816</v>
      </c>
      <c r="R58" s="244">
        <f>R26/'Other Inputs'!$C$24</f>
        <v>0.51277897999860211</v>
      </c>
      <c r="S58" s="244">
        <f>S26/'Other Inputs'!$C$24</f>
        <v>0.51237908595944048</v>
      </c>
      <c r="T58" s="244">
        <f>T26/'Other Inputs'!$C$24</f>
        <v>0.51199769481821344</v>
      </c>
      <c r="U58" s="244">
        <f>U26/'Other Inputs'!$C$24</f>
        <v>0.51162778546634902</v>
      </c>
      <c r="V58" s="244">
        <f>V26/'Other Inputs'!$C$24</f>
        <v>0.51127667564505153</v>
      </c>
      <c r="W58" s="244">
        <f>W26/'Other Inputs'!$C$24</f>
        <v>0.51093675300173658</v>
      </c>
      <c r="X58" s="244">
        <f>X26/'Other Inputs'!$C$24</f>
        <v>0.5106158415106774</v>
      </c>
      <c r="Y58" s="244">
        <f>Y26/'Other Inputs'!$C$24</f>
        <v>0.51031210228679191</v>
      </c>
      <c r="Z58" s="244">
        <f>Z26/'Other Inputs'!$C$24</f>
        <v>0.51002529211054104</v>
      </c>
      <c r="AA58" s="244">
        <f>AA26/'Other Inputs'!$C$24</f>
        <v>0.50974965609514933</v>
      </c>
      <c r="AB58" s="244">
        <f>AB26/'Other Inputs'!$C$24</f>
        <v>0.50949190263304556</v>
      </c>
      <c r="AC58" s="244">
        <f>AC26/'Other Inputs'!$C$24</f>
        <v>0.50923924452367797</v>
      </c>
      <c r="AD58" s="244">
        <f>AD26/'Other Inputs'!$C$24</f>
        <v>0.5090327140450811</v>
      </c>
      <c r="AE58" s="244">
        <f>AE26/'Other Inputs'!$C$24</f>
        <v>0.50886451802482757</v>
      </c>
      <c r="AF58" s="244">
        <f>AF26/'Other Inputs'!$C$24</f>
        <v>0.50870148649327551</v>
      </c>
    </row>
    <row r="59" spans="2:32">
      <c r="B59" s="186">
        <v>36770</v>
      </c>
      <c r="C59" s="244">
        <f>C27/'Other Inputs'!$C$24</f>
        <v>0.52635485092998413</v>
      </c>
      <c r="D59" s="244">
        <f>D27/'Other Inputs'!$C$24</f>
        <v>0.5258222959399258</v>
      </c>
      <c r="E59" s="244">
        <f>E27/'Other Inputs'!$C$24</f>
        <v>0.52537990194013329</v>
      </c>
      <c r="F59" s="244">
        <f>F27/'Other Inputs'!$C$24</f>
        <v>0.52502894610336182</v>
      </c>
      <c r="G59" s="244">
        <f>G27/'Other Inputs'!$C$24</f>
        <v>0.52464384752984017</v>
      </c>
      <c r="H59" s="244">
        <f>H27/'Other Inputs'!$C$24</f>
        <v>0.52423235759253761</v>
      </c>
      <c r="I59" s="244">
        <f>I27/'Other Inputs'!$C$24</f>
        <v>0.52391455815280219</v>
      </c>
      <c r="J59" s="244">
        <f>J27/'Other Inputs'!$C$24</f>
        <v>0.52347153558514958</v>
      </c>
      <c r="K59" s="244">
        <f>K27/'Other Inputs'!$C$24</f>
        <v>0.52316896127636559</v>
      </c>
      <c r="L59" s="244">
        <f>L27/'Other Inputs'!$C$24</f>
        <v>0.52260302218231669</v>
      </c>
      <c r="M59" s="244">
        <f>M27/'Other Inputs'!$C$24</f>
        <v>0.52196740797889474</v>
      </c>
      <c r="N59" s="244">
        <f>N27/'Other Inputs'!$C$24</f>
        <v>0.52151898876029146</v>
      </c>
      <c r="O59" s="244">
        <f>O27/'Other Inputs'!$C$24</f>
        <v>0.52115343179698392</v>
      </c>
      <c r="P59" s="244">
        <f>P27/'Other Inputs'!$C$24</f>
        <v>0.52082156342978148</v>
      </c>
      <c r="Q59" s="244">
        <f>Q27/'Other Inputs'!$C$24</f>
        <v>0.52040232779407591</v>
      </c>
      <c r="R59" s="244">
        <f>R27/'Other Inputs'!$C$24</f>
        <v>0.51997888799283831</v>
      </c>
      <c r="S59" s="244">
        <f>S27/'Other Inputs'!$C$24</f>
        <v>0.5195744342696007</v>
      </c>
      <c r="T59" s="244">
        <f>T27/'Other Inputs'!$C$24</f>
        <v>0.51918946678766675</v>
      </c>
      <c r="U59" s="244">
        <f>U27/'Other Inputs'!$C$24</f>
        <v>0.5188148919129929</v>
      </c>
      <c r="V59" s="244">
        <f>V27/'Other Inputs'!$C$24</f>
        <v>0.51846093500560497</v>
      </c>
      <c r="W59" s="244">
        <f>W27/'Other Inputs'!$C$24</f>
        <v>0.51811658153527185</v>
      </c>
      <c r="X59" s="244">
        <f>X27/'Other Inputs'!$C$24</f>
        <v>0.51779337001260639</v>
      </c>
      <c r="Y59" s="244">
        <f>Y27/'Other Inputs'!$C$24</f>
        <v>0.51748640863404161</v>
      </c>
      <c r="Z59" s="244">
        <f>Z27/'Other Inputs'!$C$24</f>
        <v>0.51719716650833403</v>
      </c>
      <c r="AA59" s="244">
        <f>AA27/'Other Inputs'!$C$24</f>
        <v>0.51691825099894761</v>
      </c>
      <c r="AB59" s="244">
        <f>AB27/'Other Inputs'!$C$24</f>
        <v>0.51665882331056667</v>
      </c>
      <c r="AC59" s="244">
        <f>AC27/'Other Inputs'!$C$24</f>
        <v>0.51640226542288548</v>
      </c>
      <c r="AD59" s="244">
        <f>AD27/'Other Inputs'!$C$24</f>
        <v>0.51619883606290595</v>
      </c>
      <c r="AE59" s="244">
        <f>AE27/'Other Inputs'!$C$24</f>
        <v>0.51603011904612428</v>
      </c>
      <c r="AF59" s="244">
        <f>AF27/'Other Inputs'!$C$24</f>
        <v>0.51586451611148676</v>
      </c>
    </row>
    <row r="60" spans="2:32">
      <c r="B60" s="186">
        <v>36800</v>
      </c>
      <c r="C60" s="244">
        <f>C28/'Other Inputs'!$C$24</f>
        <v>0.52330406205722302</v>
      </c>
      <c r="D60" s="244">
        <f>D28/'Other Inputs'!$C$24</f>
        <v>0.52276844676176071</v>
      </c>
      <c r="E60" s="244">
        <f>E28/'Other Inputs'!$C$24</f>
        <v>0.5223405799198424</v>
      </c>
      <c r="F60" s="244">
        <f>F28/'Other Inputs'!$C$24</f>
        <v>0.52199773480222045</v>
      </c>
      <c r="G60" s="244">
        <f>G28/'Other Inputs'!$C$24</f>
        <v>0.52160903311196771</v>
      </c>
      <c r="H60" s="244">
        <f>H28/'Other Inputs'!$C$24</f>
        <v>0.52119891709916932</v>
      </c>
      <c r="I60" s="244">
        <f>I28/'Other Inputs'!$C$24</f>
        <v>0.52089361299828363</v>
      </c>
      <c r="J60" s="244">
        <f>J28/'Other Inputs'!$C$24</f>
        <v>0.52043573177769109</v>
      </c>
      <c r="K60" s="244">
        <f>K28/'Other Inputs'!$C$24</f>
        <v>0.52015620228173276</v>
      </c>
      <c r="L60" s="244">
        <f>L28/'Other Inputs'!$C$24</f>
        <v>0.51955730094528652</v>
      </c>
      <c r="M60" s="244">
        <f>M28/'Other Inputs'!$C$24</f>
        <v>0.51892969231041586</v>
      </c>
      <c r="N60" s="244">
        <f>N28/'Other Inputs'!$C$24</f>
        <v>0.51850306250106992</v>
      </c>
      <c r="O60" s="244">
        <f>O28/'Other Inputs'!$C$24</f>
        <v>0.51814234310128104</v>
      </c>
      <c r="P60" s="244">
        <f>P28/'Other Inputs'!$C$24</f>
        <v>0.51781517968367496</v>
      </c>
      <c r="Q60" s="244">
        <f>Q28/'Other Inputs'!$C$24</f>
        <v>0.51738775508019341</v>
      </c>
      <c r="R60" s="244">
        <f>R28/'Other Inputs'!$C$24</f>
        <v>0.51696980242431734</v>
      </c>
      <c r="S60" s="244">
        <f>S28/'Other Inputs'!$C$24</f>
        <v>0.51656873849376517</v>
      </c>
      <c r="T60" s="244">
        <f>T28/'Other Inputs'!$C$24</f>
        <v>0.51618776749220641</v>
      </c>
      <c r="U60" s="244">
        <f>U28/'Other Inputs'!$C$24</f>
        <v>0.515815885630032</v>
      </c>
      <c r="V60" s="244">
        <f>V28/'Other Inputs'!$C$24</f>
        <v>0.51546604810310059</v>
      </c>
      <c r="W60" s="244">
        <f>W28/'Other Inputs'!$C$24</f>
        <v>0.51512402746333474</v>
      </c>
      <c r="X60" s="244">
        <f>X28/'Other Inputs'!$C$24</f>
        <v>0.51480487974470723</v>
      </c>
      <c r="Y60" s="244">
        <f>Y28/'Other Inputs'!$C$24</f>
        <v>0.51450073147149333</v>
      </c>
      <c r="Z60" s="244">
        <f>Z28/'Other Inputs'!$C$24</f>
        <v>0.51421474929171684</v>
      </c>
      <c r="AA60" s="244">
        <f>AA28/'Other Inputs'!$C$24</f>
        <v>0.51393803520836345</v>
      </c>
      <c r="AB60" s="244">
        <f>AB28/'Other Inputs'!$C$24</f>
        <v>0.51368204269294515</v>
      </c>
      <c r="AC60" s="244">
        <f>AC28/'Other Inputs'!$C$24</f>
        <v>0.51342661926513322</v>
      </c>
      <c r="AD60" s="244">
        <f>AD28/'Other Inputs'!$C$24</f>
        <v>0.51323033420727482</v>
      </c>
      <c r="AE60" s="244">
        <f>AE28/'Other Inputs'!$C$24</f>
        <v>0.51306442377340322</v>
      </c>
      <c r="AF60" s="244">
        <f>AF28/'Other Inputs'!$C$24</f>
        <v>0.5128994984847367</v>
      </c>
    </row>
    <row r="61" spans="2:32">
      <c r="B61" s="186">
        <v>36831</v>
      </c>
      <c r="C61" s="244">
        <f>C29/'Other Inputs'!$C$24</f>
        <v>0.54915078982220078</v>
      </c>
      <c r="D61" s="244">
        <f>D29/'Other Inputs'!$C$24</f>
        <v>0.54858226811348632</v>
      </c>
      <c r="E61" s="244">
        <f>E29/'Other Inputs'!$C$24</f>
        <v>0.54814582410253143</v>
      </c>
      <c r="F61" s="244">
        <f>F29/'Other Inputs'!$C$24</f>
        <v>0.54779242302813058</v>
      </c>
      <c r="G61" s="244">
        <f>G29/'Other Inputs'!$C$24</f>
        <v>0.54737839850405101</v>
      </c>
      <c r="H61" s="244">
        <f>H29/'Other Inputs'!$C$24</f>
        <v>0.54694696508188401</v>
      </c>
      <c r="I61" s="244">
        <f>I29/'Other Inputs'!$C$24</f>
        <v>0.54663776280498344</v>
      </c>
      <c r="J61" s="244">
        <f>J29/'Other Inputs'!$C$24</f>
        <v>0.54613897626041275</v>
      </c>
      <c r="K61" s="244">
        <f>K29/'Other Inputs'!$C$24</f>
        <v>0.54586798645183765</v>
      </c>
      <c r="L61" s="244">
        <f>L29/'Other Inputs'!$C$24</f>
        <v>0.54520146625191568</v>
      </c>
      <c r="M61" s="244">
        <f>M29/'Other Inputs'!$C$24</f>
        <v>0.54454739477456604</v>
      </c>
      <c r="N61" s="244">
        <f>N29/'Other Inputs'!$C$24</f>
        <v>0.5441198343381225</v>
      </c>
      <c r="O61" s="244">
        <f>O29/'Other Inputs'!$C$24</f>
        <v>0.54374415198238313</v>
      </c>
      <c r="P61" s="244">
        <f>P29/'Other Inputs'!$C$24</f>
        <v>0.54340374873792685</v>
      </c>
      <c r="Q61" s="244">
        <f>Q29/'Other Inputs'!$C$24</f>
        <v>0.54294406797630679</v>
      </c>
      <c r="R61" s="244">
        <f>R29/'Other Inputs'!$C$24</f>
        <v>0.54250865518506763</v>
      </c>
      <c r="S61" s="244">
        <f>S29/'Other Inputs'!$C$24</f>
        <v>0.54208887949794771</v>
      </c>
      <c r="T61" s="244">
        <f>T29/'Other Inputs'!$C$24</f>
        <v>0.54169094444703636</v>
      </c>
      <c r="U61" s="244">
        <f>U29/'Other Inputs'!$C$24</f>
        <v>0.54130124262718671</v>
      </c>
      <c r="V61" s="244">
        <f>V29/'Other Inputs'!$C$24</f>
        <v>0.54093629641254604</v>
      </c>
      <c r="W61" s="244">
        <f>W29/'Other Inputs'!$C$24</f>
        <v>0.54057773651893981</v>
      </c>
      <c r="X61" s="244">
        <f>X29/'Other Inputs'!$C$24</f>
        <v>0.54024512462770391</v>
      </c>
      <c r="Y61" s="244">
        <f>Y29/'Other Inputs'!$C$24</f>
        <v>0.53992703920877994</v>
      </c>
      <c r="Z61" s="244">
        <f>Z29/'Other Inputs'!$C$24</f>
        <v>0.53962859390477969</v>
      </c>
      <c r="AA61" s="244">
        <f>AA29/'Other Inputs'!$C$24</f>
        <v>0.53933882631153751</v>
      </c>
      <c r="AB61" s="244">
        <f>AB29/'Other Inputs'!$C$24</f>
        <v>0.53907221718246512</v>
      </c>
      <c r="AC61" s="244">
        <f>AC29/'Other Inputs'!$C$24</f>
        <v>0.53880380799330319</v>
      </c>
      <c r="AD61" s="244">
        <f>AD29/'Other Inputs'!$C$24</f>
        <v>0.53860408892680101</v>
      </c>
      <c r="AE61" s="244">
        <f>AE29/'Other Inputs'!$C$24</f>
        <v>0.53843190324095225</v>
      </c>
      <c r="AF61" s="244">
        <f>AF29/'Other Inputs'!$C$24</f>
        <v>0.53825853587598216</v>
      </c>
    </row>
    <row r="62" spans="2:32">
      <c r="B62" s="186">
        <v>36861</v>
      </c>
      <c r="C62" s="244">
        <f>C30/'Other Inputs'!$C$24</f>
        <v>0.55354917894024047</v>
      </c>
      <c r="D62" s="244">
        <f>D30/'Other Inputs'!$C$24</f>
        <v>0.55296959941912127</v>
      </c>
      <c r="E62" s="244">
        <f>E30/'Other Inputs'!$C$24</f>
        <v>0.55254231799430353</v>
      </c>
      <c r="F62" s="244">
        <f>F30/'Other Inputs'!$C$24</f>
        <v>0.55219251607759801</v>
      </c>
      <c r="G62" s="244">
        <f>G30/'Other Inputs'!$C$24</f>
        <v>0.55176900115681748</v>
      </c>
      <c r="H62" s="244">
        <f>H30/'Other Inputs'!$C$24</f>
        <v>0.55133304233471958</v>
      </c>
      <c r="I62" s="244">
        <f>I30/'Other Inputs'!$C$24</f>
        <v>0.55103263600576291</v>
      </c>
      <c r="J62" s="244">
        <f>J30/'Other Inputs'!$C$24</f>
        <v>0.55051141525962666</v>
      </c>
      <c r="K62" s="244">
        <f>K30/'Other Inputs'!$C$24</f>
        <v>0.55026078340371132</v>
      </c>
      <c r="L62" s="244">
        <f>L30/'Other Inputs'!$C$24</f>
        <v>0.54955057601110369</v>
      </c>
      <c r="M62" s="244">
        <f>M30/'Other Inputs'!$C$24</f>
        <v>0.54889583844356338</v>
      </c>
      <c r="N62" s="244">
        <f>N30/'Other Inputs'!$C$24</f>
        <v>0.54848515909978268</v>
      </c>
      <c r="O62" s="244">
        <f>O30/'Other Inputs'!$C$24</f>
        <v>0.54810934451456039</v>
      </c>
      <c r="P62" s="244">
        <f>P30/'Other Inputs'!$C$24</f>
        <v>0.54776915789480285</v>
      </c>
      <c r="Q62" s="244">
        <f>Q30/'Other Inputs'!$C$24</f>
        <v>0.54729455933246551</v>
      </c>
      <c r="R62" s="244">
        <f>R30/'Other Inputs'!$C$24</f>
        <v>0.54685886824714403</v>
      </c>
      <c r="S62" s="244">
        <f>S30/'Other Inputs'!$C$24</f>
        <v>0.54643683670738841</v>
      </c>
      <c r="T62" s="244">
        <f>T30/'Other Inputs'!$C$24</f>
        <v>0.54603758218861786</v>
      </c>
      <c r="U62" s="244">
        <f>U30/'Other Inputs'!$C$24</f>
        <v>0.54564531136088523</v>
      </c>
      <c r="V62" s="244">
        <f>V30/'Other Inputs'!$C$24</f>
        <v>0.54527963012819525</v>
      </c>
      <c r="W62" s="244">
        <f>W30/'Other Inputs'!$C$24</f>
        <v>0.54491855488696062</v>
      </c>
      <c r="X62" s="244">
        <f>X30/'Other Inputs'!$C$24</f>
        <v>0.54458559670993267</v>
      </c>
      <c r="Y62" s="244">
        <f>Y30/'Other Inputs'!$C$24</f>
        <v>0.54426605763022673</v>
      </c>
      <c r="Z62" s="244">
        <f>Z30/'Other Inputs'!$C$24</f>
        <v>0.5439668974516686</v>
      </c>
      <c r="AA62" s="244">
        <f>AA30/'Other Inputs'!$C$24</f>
        <v>0.5436754277825977</v>
      </c>
      <c r="AB62" s="244">
        <f>AB30/'Other Inputs'!$C$24</f>
        <v>0.54340872702879739</v>
      </c>
      <c r="AC62" s="244">
        <f>AC30/'Other Inputs'!$C$24</f>
        <v>0.54313779497575676</v>
      </c>
      <c r="AD62" s="244">
        <f>AD30/'Other Inputs'!$C$24</f>
        <v>0.54294278815914154</v>
      </c>
      <c r="AE62" s="244">
        <f>AE30/'Other Inputs'!$C$24</f>
        <v>0.54277115832670486</v>
      </c>
      <c r="AF62" s="244">
        <f>AF30/'Other Inputs'!$C$24</f>
        <v>0.54259610378617884</v>
      </c>
    </row>
    <row r="63" spans="2:32">
      <c r="B63" s="191"/>
      <c r="C63" s="191"/>
      <c r="D63" s="191"/>
      <c r="E63" s="191"/>
    </row>
    <row r="64" spans="2:32" ht="16" thickBot="1">
      <c r="B64" s="191"/>
      <c r="C64" s="245" t="s">
        <v>92</v>
      </c>
      <c r="D64" s="245"/>
      <c r="E64" s="245"/>
      <c r="F64" s="245"/>
      <c r="G64" s="246"/>
      <c r="H64" s="246"/>
      <c r="I64" s="246"/>
      <c r="J64" s="246"/>
      <c r="K64" s="246"/>
      <c r="L64" s="246"/>
    </row>
    <row r="65" spans="2:5">
      <c r="B65" s="191"/>
      <c r="C65" s="191"/>
      <c r="D65" s="191"/>
      <c r="E65" s="191"/>
    </row>
    <row r="66" spans="2:5">
      <c r="B66" s="191"/>
      <c r="C66" s="191"/>
      <c r="D66" s="191"/>
      <c r="E66" s="191"/>
    </row>
    <row r="67" spans="2:5">
      <c r="B67" s="191"/>
      <c r="C67" s="191"/>
      <c r="D67" s="191"/>
      <c r="E67" s="191"/>
    </row>
    <row r="68" spans="2:5">
      <c r="B68" s="191"/>
      <c r="C68" s="191"/>
      <c r="D68" s="191"/>
      <c r="E68" s="191"/>
    </row>
    <row r="69" spans="2:5">
      <c r="B69" s="191"/>
      <c r="C69" s="191"/>
      <c r="D69" s="191"/>
      <c r="E69" s="191"/>
    </row>
    <row r="70" spans="2:5">
      <c r="B70" s="191"/>
      <c r="C70" s="191"/>
      <c r="D70" s="191"/>
      <c r="E70" s="191"/>
    </row>
    <row r="71" spans="2:5">
      <c r="B71" s="191"/>
      <c r="C71" s="191"/>
      <c r="D71" s="191"/>
      <c r="E71" s="191"/>
    </row>
    <row r="72" spans="2:5">
      <c r="B72" s="191"/>
      <c r="C72" s="191"/>
      <c r="D72" s="191"/>
      <c r="E72" s="191"/>
    </row>
    <row r="73" spans="2:5">
      <c r="B73" s="191"/>
      <c r="C73" s="191"/>
      <c r="D73" s="191"/>
      <c r="E73" s="191"/>
    </row>
    <row r="74" spans="2:5">
      <c r="B74" s="191"/>
      <c r="C74" s="191"/>
      <c r="D74" s="191"/>
      <c r="E74" s="191"/>
    </row>
    <row r="75" spans="2:5">
      <c r="B75" s="191"/>
      <c r="C75" s="191"/>
      <c r="D75" s="191"/>
      <c r="E75" s="191"/>
    </row>
    <row r="76" spans="2:5">
      <c r="B76" s="191"/>
      <c r="C76" s="191"/>
      <c r="D76" s="191"/>
      <c r="E76" s="191"/>
    </row>
    <row r="77" spans="2:5">
      <c r="B77" s="191"/>
      <c r="C77" s="191"/>
      <c r="D77" s="191"/>
      <c r="E77" s="191"/>
    </row>
    <row r="78" spans="2:5">
      <c r="B78" s="191"/>
      <c r="C78" s="191"/>
      <c r="D78" s="191"/>
      <c r="E78" s="191"/>
    </row>
    <row r="79" spans="2:5">
      <c r="B79" s="191"/>
      <c r="C79" s="191"/>
      <c r="D79" s="191"/>
      <c r="E79" s="191"/>
    </row>
    <row r="80" spans="2:5">
      <c r="B80" s="191"/>
      <c r="C80" s="191"/>
      <c r="D80" s="191"/>
      <c r="E80" s="191"/>
    </row>
    <row r="81" spans="2:5">
      <c r="B81" s="191"/>
      <c r="C81" s="191"/>
      <c r="D81" s="191"/>
      <c r="E81" s="191"/>
    </row>
    <row r="82" spans="2:5">
      <c r="B82" s="191"/>
      <c r="C82" s="191"/>
      <c r="D82" s="191"/>
      <c r="E82" s="191"/>
    </row>
    <row r="83" spans="2:5">
      <c r="B83" s="191"/>
      <c r="C83" s="191"/>
      <c r="D83" s="191"/>
      <c r="E83" s="191"/>
    </row>
    <row r="84" spans="2:5">
      <c r="B84" s="191"/>
      <c r="C84" s="191"/>
      <c r="D84" s="191"/>
      <c r="E84" s="191"/>
    </row>
    <row r="85" spans="2:5">
      <c r="B85" s="191"/>
      <c r="C85" s="191"/>
      <c r="D85" s="191"/>
      <c r="E85" s="191"/>
    </row>
    <row r="86" spans="2:5">
      <c r="B86" s="191"/>
      <c r="C86" s="191"/>
      <c r="D86" s="191"/>
      <c r="E86" s="191"/>
    </row>
    <row r="87" spans="2:5">
      <c r="B87" s="191"/>
      <c r="C87" s="191"/>
      <c r="D87" s="191"/>
      <c r="E87" s="191"/>
    </row>
    <row r="88" spans="2:5">
      <c r="B88" s="191"/>
      <c r="C88" s="191"/>
      <c r="D88" s="191"/>
      <c r="E88" s="191"/>
    </row>
    <row r="89" spans="2:5">
      <c r="B89" s="191"/>
      <c r="C89" s="191"/>
      <c r="D89" s="191"/>
      <c r="E89" s="191"/>
    </row>
    <row r="90" spans="2:5">
      <c r="B90" s="191"/>
      <c r="C90" s="191"/>
      <c r="D90" s="191"/>
      <c r="E90" s="191"/>
    </row>
    <row r="91" spans="2:5">
      <c r="B91" s="191"/>
      <c r="C91" s="191"/>
      <c r="D91" s="191"/>
      <c r="E91" s="191"/>
    </row>
    <row r="92" spans="2:5">
      <c r="B92" s="191"/>
      <c r="C92" s="191"/>
      <c r="D92" s="191"/>
      <c r="E92" s="191"/>
    </row>
    <row r="93" spans="2:5">
      <c r="B93" s="191"/>
      <c r="C93" s="191"/>
      <c r="D93" s="191"/>
      <c r="E93" s="191"/>
    </row>
    <row r="94" spans="2:5">
      <c r="B94" s="191"/>
      <c r="C94" s="191"/>
      <c r="D94" s="191"/>
      <c r="E94" s="191"/>
    </row>
    <row r="95" spans="2:5">
      <c r="B95" s="191"/>
      <c r="C95" s="191"/>
      <c r="D95" s="191"/>
      <c r="E95" s="191"/>
    </row>
    <row r="96" spans="2:5">
      <c r="B96" s="191"/>
      <c r="C96" s="191"/>
      <c r="D96" s="191"/>
      <c r="E96" s="191"/>
    </row>
    <row r="97" spans="2:5">
      <c r="B97" s="191"/>
      <c r="C97" s="191"/>
      <c r="D97" s="191"/>
      <c r="E97" s="191"/>
    </row>
    <row r="98" spans="2:5">
      <c r="B98" s="191"/>
      <c r="C98" s="191"/>
      <c r="D98" s="191"/>
      <c r="E98" s="191"/>
    </row>
    <row r="99" spans="2:5">
      <c r="B99" s="191"/>
      <c r="C99" s="191"/>
      <c r="D99" s="191"/>
      <c r="E99" s="191"/>
    </row>
    <row r="100" spans="2:5">
      <c r="B100" s="191"/>
      <c r="C100" s="191"/>
      <c r="D100" s="191"/>
      <c r="E100" s="191"/>
    </row>
    <row r="101" spans="2:5">
      <c r="B101" s="191"/>
      <c r="C101" s="191"/>
      <c r="D101" s="191"/>
      <c r="E101" s="191"/>
    </row>
    <row r="102" spans="2:5">
      <c r="B102" s="191"/>
      <c r="C102" s="191"/>
      <c r="D102" s="191"/>
      <c r="E102" s="191"/>
    </row>
    <row r="103" spans="2:5">
      <c r="B103" s="191"/>
      <c r="C103" s="191"/>
      <c r="D103" s="191"/>
      <c r="E103" s="191"/>
    </row>
    <row r="104" spans="2:5">
      <c r="B104" s="191"/>
      <c r="C104" s="191"/>
      <c r="D104" s="191"/>
      <c r="E104" s="191"/>
    </row>
    <row r="105" spans="2:5">
      <c r="B105" s="191"/>
      <c r="C105" s="191"/>
      <c r="D105" s="191"/>
      <c r="E105" s="191"/>
    </row>
    <row r="106" spans="2:5">
      <c r="B106" s="191"/>
      <c r="C106" s="191"/>
      <c r="D106" s="191"/>
      <c r="E106" s="191"/>
    </row>
    <row r="107" spans="2:5">
      <c r="B107" s="191"/>
      <c r="C107" s="191"/>
      <c r="D107" s="191"/>
      <c r="E107" s="191"/>
    </row>
    <row r="108" spans="2:5">
      <c r="B108" s="191"/>
      <c r="C108" s="191"/>
      <c r="D108" s="191"/>
      <c r="E108" s="191"/>
    </row>
    <row r="109" spans="2:5">
      <c r="B109" s="191"/>
      <c r="C109" s="191"/>
      <c r="D109" s="191"/>
      <c r="E109" s="191"/>
    </row>
    <row r="110" spans="2:5">
      <c r="B110" s="191"/>
      <c r="C110" s="191"/>
      <c r="D110" s="191"/>
      <c r="E110" s="191"/>
    </row>
    <row r="111" spans="2:5">
      <c r="B111" s="191"/>
      <c r="C111" s="191"/>
      <c r="D111" s="191"/>
      <c r="E111" s="191"/>
    </row>
    <row r="112" spans="2:5">
      <c r="B112" s="191"/>
      <c r="C112" s="191"/>
      <c r="D112" s="191"/>
      <c r="E112" s="191"/>
    </row>
    <row r="113" spans="2:5">
      <c r="B113" s="191"/>
      <c r="C113" s="191"/>
      <c r="D113" s="191"/>
      <c r="E113" s="191"/>
    </row>
    <row r="114" spans="2:5">
      <c r="B114" s="191"/>
      <c r="C114" s="191"/>
      <c r="D114" s="191"/>
      <c r="E114" s="191"/>
    </row>
    <row r="115" spans="2:5">
      <c r="B115" s="191"/>
      <c r="C115" s="191"/>
      <c r="D115" s="191"/>
      <c r="E115" s="191"/>
    </row>
    <row r="116" spans="2:5">
      <c r="B116" s="191"/>
      <c r="C116" s="191"/>
      <c r="D116" s="191"/>
      <c r="E116" s="191"/>
    </row>
    <row r="117" spans="2:5">
      <c r="B117" s="191"/>
      <c r="C117" s="191"/>
      <c r="D117" s="191"/>
      <c r="E117" s="191"/>
    </row>
    <row r="118" spans="2:5">
      <c r="B118" s="191"/>
      <c r="C118" s="191"/>
      <c r="D118" s="191"/>
      <c r="E118" s="191"/>
    </row>
    <row r="119" spans="2:5">
      <c r="B119" s="191"/>
      <c r="C119" s="191"/>
      <c r="D119" s="191"/>
      <c r="E119" s="191"/>
    </row>
    <row r="120" spans="2:5">
      <c r="B120" s="191"/>
      <c r="C120" s="191"/>
      <c r="D120" s="191"/>
      <c r="E120" s="191"/>
    </row>
    <row r="121" spans="2:5">
      <c r="B121" s="191"/>
      <c r="C121" s="191"/>
      <c r="D121" s="191"/>
      <c r="E121" s="191"/>
    </row>
    <row r="122" spans="2:5">
      <c r="B122" s="191"/>
      <c r="C122" s="191"/>
      <c r="D122" s="191"/>
      <c r="E122" s="191"/>
    </row>
    <row r="123" spans="2:5">
      <c r="B123" s="191"/>
      <c r="C123" s="191"/>
      <c r="D123" s="191"/>
      <c r="E123" s="191"/>
    </row>
    <row r="124" spans="2:5">
      <c r="B124" s="191"/>
      <c r="C124" s="191"/>
      <c r="D124" s="191"/>
      <c r="E124" s="191"/>
    </row>
    <row r="125" spans="2:5">
      <c r="B125" s="191"/>
      <c r="C125" s="191"/>
      <c r="D125" s="191"/>
      <c r="E125" s="191"/>
    </row>
    <row r="126" spans="2:5">
      <c r="B126" s="191"/>
      <c r="C126" s="191"/>
      <c r="D126" s="191"/>
      <c r="E126" s="191"/>
    </row>
    <row r="127" spans="2:5">
      <c r="B127" s="191"/>
      <c r="C127" s="191"/>
      <c r="D127" s="191"/>
      <c r="E127" s="191"/>
    </row>
    <row r="128" spans="2:5">
      <c r="B128" s="191"/>
      <c r="C128" s="191"/>
      <c r="D128" s="191"/>
      <c r="E128" s="191"/>
    </row>
    <row r="129" spans="2:5">
      <c r="B129" s="191"/>
      <c r="C129" s="191"/>
      <c r="D129" s="191"/>
      <c r="E129" s="191"/>
    </row>
    <row r="130" spans="2:5">
      <c r="B130" s="191"/>
      <c r="C130" s="191"/>
      <c r="D130" s="191"/>
      <c r="E130" s="191"/>
    </row>
    <row r="131" spans="2:5">
      <c r="B131" s="191"/>
      <c r="C131" s="191"/>
      <c r="D131" s="191"/>
      <c r="E131" s="191"/>
    </row>
    <row r="132" spans="2:5">
      <c r="B132" s="191"/>
      <c r="C132" s="191"/>
      <c r="D132" s="191"/>
      <c r="E132" s="191"/>
    </row>
    <row r="133" spans="2:5">
      <c r="B133" s="191"/>
      <c r="C133" s="191"/>
      <c r="D133" s="191"/>
      <c r="E133" s="191"/>
    </row>
    <row r="134" spans="2:5">
      <c r="B134" s="191"/>
      <c r="C134" s="191"/>
      <c r="D134" s="191"/>
      <c r="E134" s="191"/>
    </row>
    <row r="135" spans="2:5">
      <c r="B135" s="191"/>
      <c r="C135" s="191"/>
      <c r="D135" s="191"/>
      <c r="E135" s="191"/>
    </row>
    <row r="136" spans="2:5">
      <c r="B136" s="191"/>
      <c r="C136" s="191"/>
      <c r="D136" s="191"/>
      <c r="E136" s="191"/>
    </row>
    <row r="137" spans="2:5">
      <c r="B137" s="191"/>
      <c r="C137" s="191"/>
      <c r="D137" s="191"/>
      <c r="E137" s="191"/>
    </row>
    <row r="138" spans="2:5">
      <c r="B138" s="191"/>
      <c r="C138" s="191"/>
      <c r="D138" s="191"/>
      <c r="E138" s="191"/>
    </row>
    <row r="139" spans="2:5">
      <c r="B139" s="191"/>
      <c r="C139" s="191"/>
      <c r="D139" s="191"/>
      <c r="E139" s="191"/>
    </row>
    <row r="140" spans="2:5">
      <c r="B140" s="191"/>
      <c r="C140" s="191"/>
      <c r="D140" s="191"/>
      <c r="E140" s="191"/>
    </row>
    <row r="141" spans="2:5">
      <c r="B141" s="191"/>
      <c r="C141" s="191"/>
      <c r="D141" s="191"/>
      <c r="E141" s="191"/>
    </row>
    <row r="142" spans="2:5">
      <c r="B142" s="191"/>
      <c r="C142" s="191"/>
      <c r="D142" s="191"/>
      <c r="E142" s="191"/>
    </row>
    <row r="143" spans="2:5">
      <c r="B143" s="191"/>
      <c r="C143" s="191"/>
      <c r="D143" s="191"/>
      <c r="E143" s="191"/>
    </row>
    <row r="144" spans="2:5">
      <c r="B144" s="191"/>
      <c r="C144" s="191"/>
      <c r="D144" s="191"/>
      <c r="E144" s="191"/>
    </row>
    <row r="145" spans="2:5">
      <c r="B145" s="191"/>
      <c r="C145" s="191"/>
      <c r="D145" s="191"/>
      <c r="E145" s="191"/>
    </row>
    <row r="146" spans="2:5">
      <c r="B146" s="191"/>
      <c r="C146" s="191"/>
      <c r="D146" s="191"/>
      <c r="E146" s="191"/>
    </row>
    <row r="147" spans="2:5">
      <c r="B147" s="191"/>
      <c r="C147" s="191"/>
      <c r="D147" s="191"/>
      <c r="E147" s="191"/>
    </row>
    <row r="148" spans="2:5">
      <c r="B148" s="191"/>
      <c r="C148" s="191"/>
      <c r="D148" s="191"/>
      <c r="E148" s="191"/>
    </row>
    <row r="149" spans="2:5">
      <c r="B149" s="191"/>
      <c r="C149" s="191"/>
      <c r="D149" s="191"/>
      <c r="E149" s="191"/>
    </row>
    <row r="150" spans="2:5">
      <c r="B150" s="191"/>
      <c r="C150" s="191"/>
      <c r="D150" s="191"/>
      <c r="E150" s="191"/>
    </row>
    <row r="151" spans="2:5">
      <c r="B151" s="191"/>
      <c r="C151" s="191"/>
      <c r="D151" s="191"/>
      <c r="E151" s="191"/>
    </row>
    <row r="152" spans="2:5">
      <c r="B152" s="191"/>
      <c r="C152" s="191"/>
      <c r="D152" s="191"/>
      <c r="E152" s="191"/>
    </row>
    <row r="153" spans="2:5">
      <c r="B153" s="191"/>
      <c r="C153" s="191"/>
      <c r="D153" s="191"/>
      <c r="E153" s="191"/>
    </row>
    <row r="154" spans="2:5">
      <c r="B154" s="191"/>
      <c r="C154" s="191"/>
      <c r="D154" s="191"/>
      <c r="E154" s="191"/>
    </row>
    <row r="155" spans="2:5">
      <c r="B155" s="191"/>
      <c r="C155" s="191"/>
      <c r="D155" s="191"/>
      <c r="E155" s="191"/>
    </row>
    <row r="156" spans="2:5">
      <c r="B156" s="191"/>
      <c r="C156" s="191"/>
      <c r="D156" s="191"/>
      <c r="E156" s="191"/>
    </row>
    <row r="157" spans="2:5">
      <c r="B157" s="191"/>
      <c r="C157" s="191"/>
      <c r="D157" s="191"/>
      <c r="E157" s="191"/>
    </row>
    <row r="158" spans="2:5">
      <c r="B158" s="191"/>
      <c r="C158" s="191"/>
      <c r="D158" s="191"/>
      <c r="E158" s="191"/>
    </row>
    <row r="159" spans="2:5">
      <c r="B159" s="191"/>
      <c r="C159" s="191"/>
      <c r="D159" s="191"/>
      <c r="E159" s="191"/>
    </row>
    <row r="160" spans="2:5">
      <c r="B160" s="191"/>
      <c r="C160" s="191"/>
      <c r="D160" s="191"/>
      <c r="E160" s="191"/>
    </row>
    <row r="161" spans="2:5">
      <c r="B161" s="191"/>
      <c r="C161" s="191"/>
      <c r="D161" s="191"/>
      <c r="E161" s="191"/>
    </row>
    <row r="162" spans="2:5">
      <c r="B162" s="191"/>
      <c r="C162" s="191"/>
      <c r="D162" s="191"/>
      <c r="E162" s="191"/>
    </row>
    <row r="163" spans="2:5">
      <c r="B163" s="191"/>
      <c r="C163" s="191"/>
      <c r="D163" s="191"/>
      <c r="E163" s="191"/>
    </row>
    <row r="164" spans="2:5">
      <c r="B164" s="191"/>
      <c r="C164" s="191"/>
      <c r="D164" s="191"/>
      <c r="E164" s="191"/>
    </row>
    <row r="165" spans="2:5">
      <c r="B165" s="191"/>
      <c r="C165" s="191"/>
      <c r="D165" s="191"/>
      <c r="E165" s="191"/>
    </row>
    <row r="166" spans="2:5">
      <c r="B166" s="191"/>
      <c r="C166" s="191"/>
      <c r="D166" s="191"/>
      <c r="E166" s="191"/>
    </row>
    <row r="167" spans="2:5">
      <c r="B167" s="191"/>
      <c r="C167" s="191"/>
      <c r="D167" s="191"/>
      <c r="E167" s="191"/>
    </row>
    <row r="168" spans="2:5">
      <c r="B168" s="191"/>
      <c r="C168" s="191"/>
      <c r="D168" s="191"/>
      <c r="E168" s="191"/>
    </row>
    <row r="169" spans="2:5">
      <c r="B169" s="191"/>
      <c r="C169" s="191"/>
      <c r="D169" s="191"/>
      <c r="E169" s="191"/>
    </row>
    <row r="170" spans="2:5">
      <c r="B170" s="191"/>
      <c r="C170" s="191"/>
      <c r="D170" s="191"/>
      <c r="E170" s="191"/>
    </row>
    <row r="171" spans="2:5">
      <c r="B171" s="191"/>
      <c r="C171" s="191"/>
      <c r="D171" s="191"/>
      <c r="E171" s="191"/>
    </row>
    <row r="172" spans="2:5">
      <c r="B172" s="191"/>
      <c r="C172" s="191"/>
      <c r="D172" s="191"/>
      <c r="E172" s="191"/>
    </row>
    <row r="173" spans="2:5">
      <c r="B173" s="191"/>
      <c r="C173" s="191"/>
      <c r="D173" s="191"/>
      <c r="E173" s="191"/>
    </row>
    <row r="174" spans="2:5">
      <c r="B174" s="191"/>
      <c r="C174" s="191"/>
      <c r="D174" s="191"/>
      <c r="E174" s="191"/>
    </row>
    <row r="175" spans="2:5">
      <c r="B175" s="191"/>
      <c r="C175" s="191"/>
      <c r="D175" s="191"/>
      <c r="E175" s="191"/>
    </row>
    <row r="176" spans="2:5">
      <c r="B176" s="191"/>
      <c r="C176" s="191"/>
      <c r="D176" s="191"/>
      <c r="E176" s="191"/>
    </row>
    <row r="177" spans="2:5">
      <c r="B177" s="191"/>
      <c r="C177" s="191"/>
      <c r="D177" s="191"/>
      <c r="E177" s="191"/>
    </row>
    <row r="178" spans="2:5">
      <c r="B178" s="191"/>
      <c r="C178" s="191"/>
      <c r="D178" s="191"/>
      <c r="E178" s="191"/>
    </row>
    <row r="179" spans="2:5">
      <c r="B179" s="191"/>
      <c r="C179" s="191"/>
      <c r="D179" s="191"/>
      <c r="E179" s="191"/>
    </row>
    <row r="180" spans="2:5">
      <c r="B180" s="191"/>
      <c r="C180" s="191"/>
      <c r="D180" s="191"/>
      <c r="E180" s="191"/>
    </row>
    <row r="181" spans="2:5">
      <c r="B181" s="191"/>
      <c r="C181" s="191"/>
      <c r="D181" s="191"/>
      <c r="E181" s="191"/>
    </row>
    <row r="182" spans="2:5">
      <c r="B182" s="191"/>
      <c r="C182" s="191"/>
      <c r="D182" s="191"/>
      <c r="E182" s="191"/>
    </row>
    <row r="183" spans="2:5">
      <c r="B183" s="191"/>
      <c r="C183" s="191"/>
      <c r="D183" s="191"/>
      <c r="E183" s="191"/>
    </row>
    <row r="184" spans="2:5">
      <c r="B184" s="191"/>
      <c r="C184" s="191"/>
      <c r="D184" s="191"/>
      <c r="E184" s="191"/>
    </row>
    <row r="185" spans="2:5">
      <c r="B185" s="191"/>
      <c r="C185" s="191"/>
      <c r="D185" s="191"/>
      <c r="E185" s="191"/>
    </row>
    <row r="186" spans="2:5">
      <c r="B186" s="191"/>
      <c r="C186" s="191"/>
      <c r="D186" s="191"/>
      <c r="E186" s="191"/>
    </row>
    <row r="187" spans="2:5">
      <c r="B187" s="191"/>
      <c r="C187" s="191"/>
      <c r="D187" s="191"/>
      <c r="E187" s="191"/>
    </row>
    <row r="188" spans="2:5">
      <c r="B188" s="191"/>
      <c r="C188" s="191"/>
      <c r="D188" s="191"/>
      <c r="E188" s="191"/>
    </row>
    <row r="189" spans="2:5">
      <c r="B189" s="191"/>
      <c r="C189" s="191"/>
      <c r="D189" s="191"/>
      <c r="E189" s="191"/>
    </row>
    <row r="190" spans="2:5">
      <c r="B190" s="191"/>
      <c r="C190" s="191"/>
      <c r="D190" s="191"/>
      <c r="E190" s="191"/>
    </row>
    <row r="191" spans="2:5">
      <c r="B191" s="191"/>
      <c r="C191" s="191"/>
      <c r="D191" s="191"/>
      <c r="E191" s="191"/>
    </row>
    <row r="192" spans="2:5">
      <c r="B192" s="191"/>
      <c r="C192" s="191"/>
      <c r="D192" s="191"/>
      <c r="E192" s="191"/>
    </row>
    <row r="193" spans="2:5">
      <c r="B193" s="191"/>
      <c r="C193" s="191"/>
      <c r="D193" s="191"/>
      <c r="E193" s="191"/>
    </row>
    <row r="194" spans="2:5">
      <c r="B194" s="191"/>
      <c r="C194" s="191"/>
      <c r="D194" s="191"/>
      <c r="E194" s="191"/>
    </row>
    <row r="195" spans="2:5">
      <c r="B195" s="191"/>
      <c r="C195" s="191"/>
      <c r="D195" s="191"/>
      <c r="E195" s="191"/>
    </row>
    <row r="196" spans="2:5">
      <c r="B196" s="191"/>
      <c r="C196" s="191"/>
      <c r="D196" s="191"/>
      <c r="E196" s="191"/>
    </row>
    <row r="197" spans="2:5">
      <c r="B197" s="191"/>
      <c r="C197" s="191"/>
      <c r="D197" s="191"/>
      <c r="E197" s="191"/>
    </row>
    <row r="198" spans="2:5">
      <c r="B198" s="191"/>
      <c r="C198" s="191"/>
      <c r="D198" s="191"/>
      <c r="E198" s="191"/>
    </row>
    <row r="199" spans="2:5">
      <c r="B199" s="191"/>
      <c r="C199" s="191"/>
      <c r="D199" s="191"/>
      <c r="E199" s="191"/>
    </row>
    <row r="200" spans="2:5">
      <c r="B200" s="191"/>
      <c r="C200" s="191"/>
      <c r="D200" s="191"/>
      <c r="E200" s="191"/>
    </row>
    <row r="201" spans="2:5">
      <c r="B201" s="191"/>
      <c r="C201" s="191"/>
      <c r="D201" s="191"/>
      <c r="E201" s="191"/>
    </row>
    <row r="202" spans="2:5">
      <c r="B202" s="191"/>
      <c r="C202" s="191"/>
      <c r="D202" s="191"/>
      <c r="E202" s="191"/>
    </row>
    <row r="203" spans="2:5">
      <c r="B203" s="191"/>
      <c r="C203" s="191"/>
      <c r="D203" s="191"/>
      <c r="E203" s="191"/>
    </row>
    <row r="204" spans="2:5">
      <c r="B204" s="191"/>
      <c r="C204" s="191"/>
      <c r="D204" s="191"/>
      <c r="E204" s="191"/>
    </row>
    <row r="205" spans="2:5">
      <c r="B205" s="191"/>
      <c r="C205" s="191"/>
      <c r="D205" s="191"/>
      <c r="E205" s="191"/>
    </row>
    <row r="206" spans="2:5">
      <c r="B206" s="191"/>
      <c r="C206" s="191"/>
      <c r="D206" s="191"/>
      <c r="E206" s="191"/>
    </row>
    <row r="207" spans="2:5">
      <c r="B207" s="191"/>
      <c r="C207" s="191"/>
      <c r="D207" s="191"/>
      <c r="E207" s="191"/>
    </row>
    <row r="208" spans="2:5">
      <c r="B208" s="191"/>
      <c r="C208" s="191"/>
      <c r="D208" s="191"/>
      <c r="E208" s="191"/>
    </row>
    <row r="209" spans="2:5">
      <c r="B209" s="191"/>
      <c r="C209" s="191"/>
      <c r="D209" s="191"/>
      <c r="E209" s="191"/>
    </row>
    <row r="210" spans="2:5">
      <c r="B210" s="191"/>
      <c r="C210" s="191"/>
      <c r="D210" s="191"/>
      <c r="E210" s="191"/>
    </row>
    <row r="211" spans="2:5">
      <c r="B211" s="191"/>
      <c r="C211" s="191"/>
      <c r="D211" s="191"/>
      <c r="E211" s="191"/>
    </row>
    <row r="212" spans="2:5">
      <c r="B212" s="191"/>
      <c r="C212" s="191"/>
      <c r="D212" s="191"/>
      <c r="E212" s="191"/>
    </row>
    <row r="213" spans="2:5">
      <c r="B213" s="191"/>
      <c r="C213" s="191"/>
      <c r="D213" s="191"/>
      <c r="E213" s="191"/>
    </row>
    <row r="214" spans="2:5">
      <c r="B214" s="191"/>
      <c r="C214" s="191"/>
      <c r="D214" s="191"/>
      <c r="E214" s="191"/>
    </row>
    <row r="215" spans="2:5">
      <c r="B215" s="191"/>
      <c r="C215" s="191"/>
      <c r="D215" s="191"/>
      <c r="E215" s="191"/>
    </row>
    <row r="216" spans="2:5">
      <c r="B216" s="191"/>
      <c r="C216" s="191"/>
      <c r="D216" s="191"/>
      <c r="E216" s="191"/>
    </row>
    <row r="217" spans="2:5">
      <c r="B217" s="191"/>
      <c r="C217" s="191"/>
      <c r="D217" s="191"/>
      <c r="E217" s="191"/>
    </row>
    <row r="218" spans="2:5">
      <c r="B218" s="191"/>
      <c r="C218" s="191"/>
      <c r="D218" s="191"/>
      <c r="E218" s="191"/>
    </row>
    <row r="219" spans="2:5">
      <c r="B219" s="191"/>
      <c r="C219" s="191"/>
      <c r="D219" s="191"/>
      <c r="E219" s="191"/>
    </row>
    <row r="220" spans="2:5">
      <c r="B220" s="191"/>
      <c r="C220" s="191"/>
      <c r="D220" s="191"/>
      <c r="E220" s="191"/>
    </row>
    <row r="221" spans="2:5">
      <c r="B221" s="191"/>
      <c r="C221" s="191"/>
      <c r="D221" s="191"/>
      <c r="E221" s="191"/>
    </row>
    <row r="222" spans="2:5">
      <c r="B222" s="191"/>
      <c r="C222" s="191"/>
      <c r="D222" s="191"/>
      <c r="E222" s="191"/>
    </row>
    <row r="223" spans="2:5">
      <c r="B223" s="191"/>
      <c r="C223" s="191"/>
      <c r="D223" s="191"/>
      <c r="E223" s="191"/>
    </row>
    <row r="224" spans="2:5">
      <c r="B224" s="191"/>
      <c r="C224" s="191"/>
      <c r="D224" s="191"/>
      <c r="E224" s="191"/>
    </row>
    <row r="225" spans="2:5">
      <c r="B225" s="191"/>
      <c r="C225" s="191"/>
      <c r="D225" s="191"/>
      <c r="E225" s="191"/>
    </row>
    <row r="226" spans="2:5">
      <c r="B226" s="191"/>
      <c r="C226" s="191"/>
      <c r="D226" s="191"/>
      <c r="E226" s="191"/>
    </row>
    <row r="227" spans="2:5">
      <c r="B227" s="191"/>
      <c r="C227" s="191"/>
      <c r="D227" s="191"/>
      <c r="E227" s="191"/>
    </row>
    <row r="228" spans="2:5">
      <c r="B228" s="191"/>
      <c r="C228" s="191"/>
      <c r="D228" s="191"/>
      <c r="E228" s="191"/>
    </row>
    <row r="229" spans="2:5">
      <c r="B229" s="191"/>
      <c r="C229" s="191"/>
      <c r="D229" s="191"/>
      <c r="E229" s="191"/>
    </row>
    <row r="230" spans="2:5">
      <c r="B230" s="191"/>
      <c r="C230" s="191"/>
      <c r="D230" s="191"/>
      <c r="E230" s="191"/>
    </row>
    <row r="231" spans="2:5">
      <c r="B231" s="191"/>
      <c r="C231" s="191"/>
      <c r="D231" s="191"/>
      <c r="E231" s="191"/>
    </row>
    <row r="232" spans="2:5">
      <c r="B232" s="191"/>
      <c r="C232" s="191"/>
      <c r="D232" s="191"/>
      <c r="E232" s="191"/>
    </row>
  </sheetData>
  <phoneticPr fontId="6" type="noConversion"/>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sheetPr>
  <dimension ref="A2:AM37"/>
  <sheetViews>
    <sheetView workbookViewId="0">
      <selection activeCell="F6" sqref="F6"/>
    </sheetView>
  </sheetViews>
  <sheetFormatPr baseColWidth="10" defaultColWidth="9.3984375" defaultRowHeight="15"/>
  <cols>
    <col min="1" max="1" width="8" style="19" customWidth="1"/>
    <col min="2" max="2" width="43.3984375" style="19" customWidth="1"/>
    <col min="3" max="3" width="25" style="19" customWidth="1"/>
    <col min="4" max="4" width="12.3984375" style="19" customWidth="1"/>
    <col min="5" max="5" width="12" style="19" customWidth="1"/>
    <col min="6" max="6" width="12.3984375" style="19" customWidth="1"/>
    <col min="7" max="7" width="15" style="19" customWidth="1"/>
    <col min="8" max="8" width="10" style="19" customWidth="1"/>
    <col min="9" max="9" width="13" style="19" customWidth="1"/>
    <col min="10" max="10" width="13.59765625" style="19" customWidth="1"/>
    <col min="11" max="11" width="11.3984375" style="19" customWidth="1"/>
    <col min="12" max="14" width="11.59765625" style="19" customWidth="1"/>
    <col min="15" max="15" width="13" style="19" customWidth="1"/>
    <col min="16" max="17" width="12.3984375" style="19" customWidth="1"/>
    <col min="18" max="18" width="10.3984375" style="19" customWidth="1"/>
    <col min="19" max="19" width="11.59765625" style="19" customWidth="1"/>
    <col min="20" max="20" width="12.3984375" style="19" customWidth="1"/>
    <col min="21" max="21" width="11.3984375" style="19" customWidth="1"/>
    <col min="22" max="22" width="10" style="19" customWidth="1"/>
    <col min="23" max="33" width="9.59765625" style="19" bestFit="1" customWidth="1"/>
    <col min="34" max="34" width="10.59765625" style="19" customWidth="1"/>
    <col min="35" max="39" width="11.59765625" style="19" customWidth="1"/>
    <col min="40" max="16384" width="9.3984375" style="19"/>
  </cols>
  <sheetData>
    <row r="2" spans="1:39">
      <c r="A2" s="234"/>
      <c r="B2" s="234" t="s">
        <v>93</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row>
    <row r="4" spans="1:39">
      <c r="B4" s="29" t="s">
        <v>94</v>
      </c>
      <c r="D4" s="1"/>
      <c r="E4" s="1"/>
      <c r="F4" s="6"/>
      <c r="G4" s="1"/>
    </row>
    <row r="5" spans="1:39" s="30" customFormat="1" ht="28">
      <c r="B5" s="234" t="s">
        <v>95</v>
      </c>
      <c r="C5" s="234" t="s">
        <v>96</v>
      </c>
      <c r="D5" s="235" t="s">
        <v>97</v>
      </c>
      <c r="E5" s="235" t="s">
        <v>98</v>
      </c>
      <c r="F5" s="235" t="s">
        <v>450</v>
      </c>
      <c r="G5" s="235" t="s">
        <v>99</v>
      </c>
      <c r="H5" s="44" t="s">
        <v>100</v>
      </c>
      <c r="M5" s="19"/>
      <c r="N5" s="19"/>
      <c r="O5" s="19"/>
      <c r="P5" s="19"/>
      <c r="Q5" s="19"/>
      <c r="R5" s="19"/>
      <c r="S5" s="19"/>
      <c r="T5" s="19"/>
      <c r="U5" s="19"/>
    </row>
    <row r="6" spans="1:39">
      <c r="B6" s="215" t="s">
        <v>101</v>
      </c>
      <c r="C6" s="215" t="s">
        <v>24</v>
      </c>
      <c r="D6" s="216">
        <v>0.186</v>
      </c>
      <c r="E6" s="217">
        <v>117</v>
      </c>
      <c r="F6" s="218">
        <f>D6/10</f>
        <v>1.8599999999999998E-2</v>
      </c>
      <c r="G6" s="219">
        <f>E6/(10*2204.62)</f>
        <v>5.3070370403969849E-3</v>
      </c>
      <c r="H6" s="45" t="str">
        <f>_xlfn.CONCAT(B6,"-",C6)</f>
        <v>Large Boiler (&gt;100MMBtu/Hr)-Uncontrolled</v>
      </c>
    </row>
    <row r="7" spans="1:39">
      <c r="B7" s="215" t="s">
        <v>101</v>
      </c>
      <c r="C7" s="215" t="s">
        <v>102</v>
      </c>
      <c r="D7" s="216">
        <v>0.13700000000000001</v>
      </c>
      <c r="E7" s="217">
        <v>117</v>
      </c>
      <c r="F7" s="218">
        <f t="shared" ref="F7:F12" si="0">D7/10</f>
        <v>1.37E-2</v>
      </c>
      <c r="G7" s="219">
        <f t="shared" ref="G7:G12" si="1">E7/(10*2204.62)</f>
        <v>5.3070370403969849E-3</v>
      </c>
      <c r="H7" s="45" t="str">
        <f t="shared" ref="H7:H12" si="2">_xlfn.CONCAT(B7,"-",C7)</f>
        <v>Large Boiler (&gt;100MMBtu/Hr)-Low Nox Burner</v>
      </c>
    </row>
    <row r="8" spans="1:39">
      <c r="B8" s="215" t="s">
        <v>101</v>
      </c>
      <c r="C8" s="215" t="s">
        <v>103</v>
      </c>
      <c r="D8" s="216">
        <v>9.8000000000000004E-2</v>
      </c>
      <c r="E8" s="217">
        <v>117</v>
      </c>
      <c r="F8" s="218">
        <f t="shared" si="0"/>
        <v>9.7999999999999997E-3</v>
      </c>
      <c r="G8" s="219">
        <f t="shared" si="1"/>
        <v>5.3070370403969849E-3</v>
      </c>
      <c r="H8" s="45" t="str">
        <f t="shared" si="2"/>
        <v>Large Boiler (&gt;100MMBtu/Hr)-Flue Gas Recirculation</v>
      </c>
    </row>
    <row r="9" spans="1:39">
      <c r="B9" s="215" t="s">
        <v>22</v>
      </c>
      <c r="C9" s="215" t="s">
        <v>24</v>
      </c>
      <c r="D9" s="216">
        <v>9.8000000000000004E-2</v>
      </c>
      <c r="E9" s="217">
        <v>117</v>
      </c>
      <c r="F9" s="218">
        <f t="shared" si="0"/>
        <v>9.7999999999999997E-3</v>
      </c>
      <c r="G9" s="219">
        <f t="shared" si="1"/>
        <v>5.3070370403969849E-3</v>
      </c>
      <c r="H9" s="45" t="str">
        <f t="shared" si="2"/>
        <v>Small Boiler (&lt;100MMBtu/Hr)-Uncontrolled</v>
      </c>
    </row>
    <row r="10" spans="1:39">
      <c r="B10" s="215" t="s">
        <v>22</v>
      </c>
      <c r="C10" s="215" t="s">
        <v>102</v>
      </c>
      <c r="D10" s="216">
        <v>4.9000000000000002E-2</v>
      </c>
      <c r="E10" s="217">
        <v>117</v>
      </c>
      <c r="F10" s="218">
        <f t="shared" si="0"/>
        <v>4.8999999999999998E-3</v>
      </c>
      <c r="G10" s="219">
        <f t="shared" si="1"/>
        <v>5.3070370403969849E-3</v>
      </c>
      <c r="H10" s="45" t="str">
        <f t="shared" si="2"/>
        <v>Small Boiler (&lt;100MMBtu/Hr)-Low Nox Burner</v>
      </c>
    </row>
    <row r="11" spans="1:39">
      <c r="B11" s="215" t="s">
        <v>22</v>
      </c>
      <c r="C11" s="215" t="s">
        <v>103</v>
      </c>
      <c r="D11" s="216">
        <v>3.1E-2</v>
      </c>
      <c r="E11" s="217">
        <v>117</v>
      </c>
      <c r="F11" s="218">
        <f t="shared" si="0"/>
        <v>3.0999999999999999E-3</v>
      </c>
      <c r="G11" s="219">
        <f t="shared" si="1"/>
        <v>5.3070370403969849E-3</v>
      </c>
      <c r="H11" s="45" t="str">
        <f t="shared" si="2"/>
        <v>Small Boiler (&lt;100MMBtu/Hr)-Flue Gas Recirculation</v>
      </c>
    </row>
    <row r="12" spans="1:39">
      <c r="B12" s="215" t="s">
        <v>104</v>
      </c>
      <c r="C12" s="215" t="s">
        <v>24</v>
      </c>
      <c r="D12" s="216">
        <v>9.1999999999999998E-2</v>
      </c>
      <c r="E12" s="217">
        <v>117</v>
      </c>
      <c r="F12" s="218">
        <f t="shared" si="0"/>
        <v>9.1999999999999998E-3</v>
      </c>
      <c r="G12" s="219">
        <f t="shared" si="1"/>
        <v>5.3070370403969849E-3</v>
      </c>
      <c r="H12" s="45" t="str">
        <f t="shared" si="2"/>
        <v>Residential Furnace-Uncontrolled</v>
      </c>
    </row>
    <row r="13" spans="1:39">
      <c r="F13" s="31"/>
      <c r="G13" s="31"/>
    </row>
    <row r="16" spans="1:39">
      <c r="B16" s="234" t="s">
        <v>105</v>
      </c>
      <c r="C16" s="234">
        <v>2019</v>
      </c>
      <c r="D16" s="234">
        <v>2020</v>
      </c>
      <c r="E16" s="234">
        <v>2021</v>
      </c>
      <c r="F16" s="234">
        <v>2022</v>
      </c>
      <c r="G16" s="234">
        <v>2023</v>
      </c>
      <c r="H16" s="234">
        <f>G16+1</f>
        <v>2024</v>
      </c>
      <c r="I16" s="234">
        <f>H16+1</f>
        <v>2025</v>
      </c>
      <c r="J16" s="234">
        <f t="shared" ref="J16:AF16" si="3">I16+1</f>
        <v>2026</v>
      </c>
      <c r="K16" s="234">
        <f t="shared" si="3"/>
        <v>2027</v>
      </c>
      <c r="L16" s="234">
        <f t="shared" si="3"/>
        <v>2028</v>
      </c>
      <c r="M16" s="234">
        <f t="shared" si="3"/>
        <v>2029</v>
      </c>
      <c r="N16" s="234">
        <f t="shared" si="3"/>
        <v>2030</v>
      </c>
      <c r="O16" s="234">
        <f t="shared" si="3"/>
        <v>2031</v>
      </c>
      <c r="P16" s="234">
        <f t="shared" si="3"/>
        <v>2032</v>
      </c>
      <c r="Q16" s="234">
        <f t="shared" si="3"/>
        <v>2033</v>
      </c>
      <c r="R16" s="234">
        <f t="shared" si="3"/>
        <v>2034</v>
      </c>
      <c r="S16" s="234">
        <f t="shared" si="3"/>
        <v>2035</v>
      </c>
      <c r="T16" s="234">
        <f t="shared" si="3"/>
        <v>2036</v>
      </c>
      <c r="U16" s="234">
        <f t="shared" si="3"/>
        <v>2037</v>
      </c>
      <c r="V16" s="234">
        <f t="shared" si="3"/>
        <v>2038</v>
      </c>
      <c r="W16" s="234">
        <f t="shared" si="3"/>
        <v>2039</v>
      </c>
      <c r="X16" s="234">
        <f t="shared" si="3"/>
        <v>2040</v>
      </c>
      <c r="Y16" s="234">
        <f t="shared" si="3"/>
        <v>2041</v>
      </c>
      <c r="Z16" s="234">
        <f t="shared" si="3"/>
        <v>2042</v>
      </c>
      <c r="AA16" s="234">
        <f t="shared" si="3"/>
        <v>2043</v>
      </c>
      <c r="AB16" s="234">
        <f t="shared" si="3"/>
        <v>2044</v>
      </c>
      <c r="AC16" s="234">
        <f t="shared" si="3"/>
        <v>2045</v>
      </c>
      <c r="AD16" s="234">
        <f t="shared" si="3"/>
        <v>2046</v>
      </c>
      <c r="AE16" s="234">
        <f t="shared" si="3"/>
        <v>2047</v>
      </c>
      <c r="AF16" s="234">
        <f t="shared" si="3"/>
        <v>2048</v>
      </c>
      <c r="AG16" s="234">
        <v>2049</v>
      </c>
      <c r="AH16" s="234">
        <v>2050</v>
      </c>
      <c r="AI16" s="234">
        <v>2051</v>
      </c>
      <c r="AJ16" s="234">
        <v>2052</v>
      </c>
      <c r="AK16" s="234">
        <v>2053</v>
      </c>
      <c r="AL16" s="234">
        <v>2054</v>
      </c>
      <c r="AM16" s="234">
        <v>2055</v>
      </c>
    </row>
    <row r="17" spans="1:39">
      <c r="A17" s="32"/>
      <c r="B17" s="64" t="s">
        <v>106</v>
      </c>
      <c r="C17" s="214">
        <v>11.339584804900008</v>
      </c>
      <c r="D17" s="214">
        <v>12.47354328539001</v>
      </c>
      <c r="E17" s="214">
        <v>13.720897613929012</v>
      </c>
      <c r="F17" s="214">
        <v>15.092987375321913</v>
      </c>
      <c r="G17" s="214">
        <v>16.602286112854106</v>
      </c>
      <c r="H17" s="212">
        <f>TREND($C17:$G17,$C$16:$G$16,H$16)</f>
        <v>17.789313850231338</v>
      </c>
      <c r="I17" s="212">
        <f t="shared" ref="I17:Q17" si="4">TREND($C17:$G17,$C$16:$G$16,I$16)</f>
        <v>19.103798520815417</v>
      </c>
      <c r="J17" s="212">
        <f t="shared" si="4"/>
        <v>20.418283191399041</v>
      </c>
      <c r="K17" s="212">
        <f t="shared" si="4"/>
        <v>21.73276786198312</v>
      </c>
      <c r="L17" s="212">
        <f t="shared" si="4"/>
        <v>23.0472525325672</v>
      </c>
      <c r="M17" s="212">
        <f t="shared" si="4"/>
        <v>24.361737203151279</v>
      </c>
      <c r="N17" s="212">
        <f t="shared" si="4"/>
        <v>25.676221873735358</v>
      </c>
      <c r="O17" s="212">
        <f t="shared" si="4"/>
        <v>26.990706544319437</v>
      </c>
      <c r="P17" s="212">
        <f t="shared" si="4"/>
        <v>28.305191214903061</v>
      </c>
      <c r="Q17" s="212">
        <f t="shared" si="4"/>
        <v>29.61967588548714</v>
      </c>
      <c r="R17" s="212">
        <f t="shared" ref="R17:AF17" si="5">TREND($C17:$G17,$C$16:$G$16,R$16)</f>
        <v>30.93416055607122</v>
      </c>
      <c r="S17" s="212">
        <f t="shared" si="5"/>
        <v>32.248645226655299</v>
      </c>
      <c r="T17" s="212">
        <f t="shared" si="5"/>
        <v>33.563129897239378</v>
      </c>
      <c r="U17" s="212">
        <f t="shared" si="5"/>
        <v>34.877614567823457</v>
      </c>
      <c r="V17" s="212">
        <f t="shared" si="5"/>
        <v>36.192099238407536</v>
      </c>
      <c r="W17" s="212">
        <f t="shared" si="5"/>
        <v>37.506583908991161</v>
      </c>
      <c r="X17" s="212">
        <f t="shared" si="5"/>
        <v>38.82106857957524</v>
      </c>
      <c r="Y17" s="212">
        <f t="shared" si="5"/>
        <v>40.135553250159319</v>
      </c>
      <c r="Z17" s="212">
        <f t="shared" si="5"/>
        <v>41.450037920743398</v>
      </c>
      <c r="AA17" s="212">
        <f t="shared" si="5"/>
        <v>42.764522591327477</v>
      </c>
      <c r="AB17" s="212">
        <f t="shared" si="5"/>
        <v>44.079007261911556</v>
      </c>
      <c r="AC17" s="212">
        <f t="shared" si="5"/>
        <v>45.393491932495181</v>
      </c>
      <c r="AD17" s="212">
        <f t="shared" si="5"/>
        <v>46.70797660307926</v>
      </c>
      <c r="AE17" s="212">
        <f t="shared" si="5"/>
        <v>48.022461273663339</v>
      </c>
      <c r="AF17" s="212">
        <f t="shared" si="5"/>
        <v>49.336945944247418</v>
      </c>
      <c r="AG17" s="212">
        <f t="shared" ref="AG17:AL17" si="6">TREND($C17:$G17,$C$16:$G$16,AG$16)</f>
        <v>50.651430614831497</v>
      </c>
      <c r="AH17" s="212">
        <f>TREND($C17:$G17,$C$16:$G$16,AH$16)</f>
        <v>51.965915285415576</v>
      </c>
      <c r="AI17" s="212">
        <f t="shared" si="6"/>
        <v>53.280399955999656</v>
      </c>
      <c r="AJ17" s="212">
        <f t="shared" si="6"/>
        <v>54.59488462658328</v>
      </c>
      <c r="AK17" s="212">
        <f t="shared" si="6"/>
        <v>55.909369297167359</v>
      </c>
      <c r="AL17" s="212">
        <f t="shared" si="6"/>
        <v>57.223853967751438</v>
      </c>
      <c r="AM17" s="212">
        <f>TREND($C17:$G17,$C$16:$G$16,AM$16)</f>
        <v>58.538338638335517</v>
      </c>
    </row>
    <row r="18" spans="1:39">
      <c r="A18" s="32"/>
      <c r="B18" s="65" t="s">
        <v>107</v>
      </c>
      <c r="C18" s="212">
        <f>C17*'User Dashboard'!$C$33</f>
        <v>0.10432418020508008</v>
      </c>
      <c r="D18" s="212">
        <f>D17*'User Dashboard'!$C$33</f>
        <v>0.11475659822558809</v>
      </c>
      <c r="E18" s="212">
        <f>E17*'User Dashboard'!$C$33</f>
        <v>0.12623225804814692</v>
      </c>
      <c r="F18" s="212">
        <f>F17*'User Dashboard'!$C$33</f>
        <v>0.13885548385296159</v>
      </c>
      <c r="G18" s="212">
        <f>G17*'User Dashboard'!$C$33</f>
        <v>0.15274103223825777</v>
      </c>
      <c r="H18" s="212">
        <f>H17*'User Dashboard'!$C$33</f>
        <v>0.1636616874221283</v>
      </c>
      <c r="I18" s="212">
        <f>I17*'User Dashboard'!$C$33</f>
        <v>0.17575494639150183</v>
      </c>
      <c r="J18" s="212">
        <f>J17*'User Dashboard'!$C$33</f>
        <v>0.18784820536087118</v>
      </c>
      <c r="K18" s="212">
        <f>K17*'User Dashboard'!$C$33</f>
        <v>0.19994146433024471</v>
      </c>
      <c r="L18" s="212">
        <f>L17*'User Dashboard'!$C$33</f>
        <v>0.21203472329961823</v>
      </c>
      <c r="M18" s="212">
        <f>M17*'User Dashboard'!$C$33</f>
        <v>0.22412798226899175</v>
      </c>
      <c r="N18" s="212">
        <f>N17*'User Dashboard'!$C$33</f>
        <v>0.2362212412383653</v>
      </c>
      <c r="O18" s="212">
        <f>O17*'User Dashboard'!$C$33</f>
        <v>0.24831450020773882</v>
      </c>
      <c r="P18" s="212">
        <f>P17*'User Dashboard'!$C$33</f>
        <v>0.26040775917710818</v>
      </c>
      <c r="Q18" s="212">
        <f>Q17*'User Dashboard'!$C$33</f>
        <v>0.2725010181464817</v>
      </c>
      <c r="R18" s="212">
        <f>R17*'User Dashboard'!$C$33</f>
        <v>0.28459427711585522</v>
      </c>
      <c r="S18" s="212">
        <f>S17*'User Dashboard'!$C$33</f>
        <v>0.29668753608522874</v>
      </c>
      <c r="T18" s="212">
        <f>T17*'User Dashboard'!$C$33</f>
        <v>0.30878079505460226</v>
      </c>
      <c r="U18" s="212">
        <f>U17*'User Dashboard'!$C$33</f>
        <v>0.32087405402397579</v>
      </c>
      <c r="V18" s="212">
        <f>V17*'User Dashboard'!$C$33</f>
        <v>0.33296731299334931</v>
      </c>
      <c r="W18" s="212">
        <f>W17*'User Dashboard'!$C$33</f>
        <v>0.34506057196271867</v>
      </c>
      <c r="X18" s="212">
        <f>X17*'User Dashboard'!$C$33</f>
        <v>0.35715383093209219</v>
      </c>
      <c r="Y18" s="212">
        <f>Y17*'User Dashboard'!$C$33</f>
        <v>0.36924708990146571</v>
      </c>
      <c r="Z18" s="212">
        <f>Z17*'User Dashboard'!$C$33</f>
        <v>0.38134034887083923</v>
      </c>
      <c r="AA18" s="212">
        <f>AA17*'User Dashboard'!$C$33</f>
        <v>0.39343360784021281</v>
      </c>
      <c r="AB18" s="212">
        <f>AB17*'User Dashboard'!$C$33</f>
        <v>0.40552686680958633</v>
      </c>
      <c r="AC18" s="212">
        <f>AC17*'User Dashboard'!$C$33</f>
        <v>0.41762012577895563</v>
      </c>
      <c r="AD18" s="212">
        <f>AD17*'User Dashboard'!$C$33</f>
        <v>0.42971338474832921</v>
      </c>
      <c r="AE18" s="212">
        <f>AE17*'User Dashboard'!$C$33</f>
        <v>0.44180664371770273</v>
      </c>
      <c r="AF18" s="212">
        <f>AF17*'User Dashboard'!$C$33</f>
        <v>0.45389990268707625</v>
      </c>
      <c r="AG18" s="212">
        <f>AG17*'User Dashboard'!$C$33</f>
        <v>0.46599316165644977</v>
      </c>
      <c r="AH18" s="212">
        <f>AH17*'User Dashboard'!$C$33</f>
        <v>0.47808642062582329</v>
      </c>
      <c r="AI18" s="212">
        <f>AI17*'User Dashboard'!$C$33</f>
        <v>0.49017967959519682</v>
      </c>
      <c r="AJ18" s="212">
        <f>AJ17*'User Dashboard'!$C$33</f>
        <v>0.50227293856456612</v>
      </c>
      <c r="AK18" s="212">
        <f>AK17*'User Dashboard'!$C$33</f>
        <v>0.51436619753393964</v>
      </c>
      <c r="AL18" s="212">
        <f>AL17*'User Dashboard'!$C$33</f>
        <v>0.52645945650331327</v>
      </c>
      <c r="AM18" s="212">
        <f>AM17*'User Dashboard'!$C$33</f>
        <v>0.53855271547268679</v>
      </c>
    </row>
    <row r="19" spans="1:39">
      <c r="B19" s="65" t="s">
        <v>108</v>
      </c>
      <c r="C19" s="252"/>
      <c r="D19" s="253"/>
      <c r="E19" s="252"/>
      <c r="F19" s="252"/>
      <c r="G19" s="252"/>
      <c r="H19" s="252"/>
      <c r="I19" s="214">
        <v>82.708858827352444</v>
      </c>
      <c r="J19" s="214">
        <v>132.30153483151179</v>
      </c>
      <c r="K19" s="214">
        <v>281.46653464045181</v>
      </c>
      <c r="L19" s="214">
        <v>430.76986744041125</v>
      </c>
      <c r="M19" s="214">
        <v>469.76517370176498</v>
      </c>
      <c r="N19" s="214">
        <v>508.96374296427928</v>
      </c>
      <c r="O19" s="214">
        <v>548.35124619136388</v>
      </c>
      <c r="P19" s="214">
        <v>518.41568040483503</v>
      </c>
      <c r="Q19" s="214">
        <v>488.68054495765654</v>
      </c>
      <c r="R19" s="214">
        <v>459.16761648019809</v>
      </c>
      <c r="S19" s="214">
        <v>429.9004177348653</v>
      </c>
      <c r="T19" s="214">
        <v>400.90901429898997</v>
      </c>
      <c r="U19" s="214">
        <v>415.27409165419465</v>
      </c>
      <c r="V19" s="214">
        <v>429.95238614738946</v>
      </c>
      <c r="W19" s="214">
        <v>444.96175313562492</v>
      </c>
      <c r="X19" s="214">
        <v>460.34197839568225</v>
      </c>
      <c r="Y19" s="214">
        <v>476.16292459233699</v>
      </c>
      <c r="Z19" s="214">
        <v>534.23805540899991</v>
      </c>
      <c r="AA19" s="214">
        <v>592.76584310960004</v>
      </c>
      <c r="AB19" s="214">
        <v>651.76154429718554</v>
      </c>
      <c r="AC19" s="214">
        <v>711.28982485475785</v>
      </c>
      <c r="AD19" s="213">
        <f>$AC$19*(1+'User Dashboard'!$C$19)^(Emissions!AD$16-$AC$16)</f>
        <v>725.51562135185304</v>
      </c>
      <c r="AE19" s="213">
        <f>$AC$19*(1+'User Dashboard'!$C$19)^(Emissions!AE$16-$AC$16)</f>
        <v>740.02593377889002</v>
      </c>
      <c r="AF19" s="213">
        <f>$AC$19*(1+'User Dashboard'!$C$19)^(Emissions!AF$16-$AC$16)</f>
        <v>754.82645245446781</v>
      </c>
      <c r="AG19" s="213">
        <f>$AC$19*(1+'User Dashboard'!$C$19)^(Emissions!AG$16-$AC$16)</f>
        <v>769.92298150355725</v>
      </c>
      <c r="AH19" s="213">
        <f>$AC$19*(1+'User Dashboard'!$C$19)^(Emissions!AH$16-$AC$16)</f>
        <v>785.32144113362835</v>
      </c>
      <c r="AI19" s="213">
        <f>$AC$19*(1+'User Dashboard'!$C$19)^(Emissions!AI$16-$AC$16)</f>
        <v>801.02786995630095</v>
      </c>
      <c r="AJ19" s="213">
        <f>$AC$19*(1+'User Dashboard'!$C$19)^(Emissions!AJ$16-$AC$16)</f>
        <v>817.04842735542684</v>
      </c>
      <c r="AK19" s="213">
        <f>$AC$19*(1+'User Dashboard'!$C$19)^(Emissions!AK$16-$AC$16)</f>
        <v>833.3893959025354</v>
      </c>
      <c r="AL19" s="213">
        <f>$AC$19*(1+'User Dashboard'!$C$19)^(Emissions!AL$16-$AC$16)</f>
        <v>850.05718382058615</v>
      </c>
      <c r="AM19" s="213">
        <f>$AC$19*(1+'User Dashboard'!$C$19)^(Emissions!AM$16-$AC$16)</f>
        <v>867.05832749699789</v>
      </c>
    </row>
    <row r="20" spans="1:39">
      <c r="B20" s="66" t="s">
        <v>109</v>
      </c>
      <c r="C20" s="214">
        <v>15.86306967106159</v>
      </c>
      <c r="D20" s="214">
        <v>17.449376638167749</v>
      </c>
      <c r="E20" s="214">
        <v>19.194314301984527</v>
      </c>
      <c r="F20" s="214">
        <v>21.113745732182977</v>
      </c>
      <c r="G20" s="214">
        <v>23.22512030540128</v>
      </c>
      <c r="H20" s="212">
        <f t="shared" ref="H20:AM20" si="7">TREND($C20:$G20,$C$16:$G$16,H$16)</f>
        <v>24.885666438568023</v>
      </c>
      <c r="I20" s="212">
        <f t="shared" si="7"/>
        <v>26.724513474837295</v>
      </c>
      <c r="J20" s="212">
        <f t="shared" si="7"/>
        <v>28.563360511107021</v>
      </c>
      <c r="K20" s="212">
        <f t="shared" si="7"/>
        <v>30.402207547376292</v>
      </c>
      <c r="L20" s="212">
        <f>TREND($C20:$G20,$C$16:$G$16,L$16)</f>
        <v>32.241054583646019</v>
      </c>
      <c r="M20" s="212">
        <f t="shared" si="7"/>
        <v>34.07990161991529</v>
      </c>
      <c r="N20" s="212">
        <f t="shared" si="7"/>
        <v>35.918748656185016</v>
      </c>
      <c r="O20" s="212">
        <f t="shared" si="7"/>
        <v>37.757595692454288</v>
      </c>
      <c r="P20" s="212">
        <f t="shared" si="7"/>
        <v>39.596442728723559</v>
      </c>
      <c r="Q20" s="212">
        <f t="shared" si="7"/>
        <v>41.435289764993286</v>
      </c>
      <c r="R20" s="212">
        <f t="shared" si="7"/>
        <v>43.274136801262557</v>
      </c>
      <c r="S20" s="212">
        <f t="shared" si="7"/>
        <v>45.112983837532283</v>
      </c>
      <c r="T20" s="212">
        <f t="shared" si="7"/>
        <v>46.951830873801555</v>
      </c>
      <c r="U20" s="212">
        <f t="shared" si="7"/>
        <v>48.790677910070826</v>
      </c>
      <c r="V20" s="212">
        <f t="shared" si="7"/>
        <v>50.629524946340553</v>
      </c>
      <c r="W20" s="212">
        <f t="shared" si="7"/>
        <v>52.468371982609824</v>
      </c>
      <c r="X20" s="212">
        <f t="shared" si="7"/>
        <v>54.30721901887955</v>
      </c>
      <c r="Y20" s="212">
        <f t="shared" si="7"/>
        <v>56.146066055148822</v>
      </c>
      <c r="Z20" s="212">
        <f t="shared" si="7"/>
        <v>57.984913091418548</v>
      </c>
      <c r="AA20" s="212">
        <f t="shared" si="7"/>
        <v>59.823760127687819</v>
      </c>
      <c r="AB20" s="212">
        <f t="shared" si="7"/>
        <v>61.662607163957091</v>
      </c>
      <c r="AC20" s="212">
        <f t="shared" si="7"/>
        <v>63.501454200226817</v>
      </c>
      <c r="AD20" s="212">
        <f t="shared" si="7"/>
        <v>65.340301236496089</v>
      </c>
      <c r="AE20" s="212">
        <f t="shared" si="7"/>
        <v>67.179148272765815</v>
      </c>
      <c r="AF20" s="212">
        <f t="shared" si="7"/>
        <v>69.017995309035086</v>
      </c>
      <c r="AG20" s="212">
        <f t="shared" si="7"/>
        <v>70.856842345304358</v>
      </c>
      <c r="AH20" s="212">
        <f t="shared" si="7"/>
        <v>72.695689381574084</v>
      </c>
      <c r="AI20" s="212">
        <f t="shared" si="7"/>
        <v>74.534536417843356</v>
      </c>
      <c r="AJ20" s="212">
        <f t="shared" si="7"/>
        <v>76.373383454113082</v>
      </c>
      <c r="AK20" s="212">
        <f t="shared" si="7"/>
        <v>78.212230490382353</v>
      </c>
      <c r="AL20" s="212">
        <f t="shared" si="7"/>
        <v>80.051077526651625</v>
      </c>
      <c r="AM20" s="212">
        <f t="shared" si="7"/>
        <v>81.889924562921351</v>
      </c>
    </row>
    <row r="21" spans="1:39">
      <c r="A21" s="33"/>
      <c r="B21" s="58"/>
      <c r="C21" s="20"/>
      <c r="D21" s="59"/>
      <c r="E21" s="59"/>
      <c r="F21" s="59"/>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row>
    <row r="22" spans="1:39">
      <c r="B22" s="234" t="s">
        <v>110</v>
      </c>
      <c r="C22" s="234"/>
      <c r="D22" s="234">
        <v>2020</v>
      </c>
      <c r="E22" s="234">
        <v>2021</v>
      </c>
      <c r="F22" s="234">
        <v>2022</v>
      </c>
      <c r="G22" s="234">
        <v>2023</v>
      </c>
      <c r="H22" s="234">
        <f>G22+1</f>
        <v>2024</v>
      </c>
      <c r="I22" s="234">
        <f>H22+1</f>
        <v>2025</v>
      </c>
      <c r="J22" s="234">
        <f t="shared" ref="J22" si="8">I22+1</f>
        <v>2026</v>
      </c>
      <c r="K22" s="234">
        <f t="shared" ref="K22" si="9">J22+1</f>
        <v>2027</v>
      </c>
      <c r="L22" s="234">
        <f t="shared" ref="L22" si="10">K22+1</f>
        <v>2028</v>
      </c>
      <c r="M22" s="234">
        <f t="shared" ref="M22" si="11">L22+1</f>
        <v>2029</v>
      </c>
      <c r="N22" s="234">
        <f t="shared" ref="N22" si="12">M22+1</f>
        <v>2030</v>
      </c>
      <c r="O22" s="234">
        <f t="shared" ref="O22" si="13">N22+1</f>
        <v>2031</v>
      </c>
      <c r="P22" s="234">
        <f t="shared" ref="P22" si="14">O22+1</f>
        <v>2032</v>
      </c>
      <c r="Q22" s="234">
        <f t="shared" ref="Q22" si="15">P22+1</f>
        <v>2033</v>
      </c>
      <c r="R22" s="234">
        <f t="shared" ref="R22" si="16">Q22+1</f>
        <v>2034</v>
      </c>
      <c r="S22" s="234">
        <f t="shared" ref="S22" si="17">R22+1</f>
        <v>2035</v>
      </c>
      <c r="T22" s="234">
        <f t="shared" ref="T22" si="18">S22+1</f>
        <v>2036</v>
      </c>
      <c r="U22" s="234">
        <f t="shared" ref="U22" si="19">T22+1</f>
        <v>2037</v>
      </c>
      <c r="V22" s="234">
        <f t="shared" ref="V22" si="20">U22+1</f>
        <v>2038</v>
      </c>
      <c r="W22" s="234">
        <f t="shared" ref="W22" si="21">V22+1</f>
        <v>2039</v>
      </c>
      <c r="X22" s="234">
        <f t="shared" ref="X22" si="22">W22+1</f>
        <v>2040</v>
      </c>
      <c r="Y22" s="234">
        <f t="shared" ref="Y22" si="23">X22+1</f>
        <v>2041</v>
      </c>
      <c r="Z22" s="234">
        <f t="shared" ref="Z22" si="24">Y22+1</f>
        <v>2042</v>
      </c>
      <c r="AA22" s="234">
        <f t="shared" ref="AA22" si="25">Z22+1</f>
        <v>2043</v>
      </c>
      <c r="AB22" s="234">
        <f t="shared" ref="AB22" si="26">AA22+1</f>
        <v>2044</v>
      </c>
      <c r="AC22" s="234">
        <f t="shared" ref="AC22" si="27">AB22+1</f>
        <v>2045</v>
      </c>
      <c r="AD22" s="234">
        <f t="shared" ref="AD22" si="28">AC22+1</f>
        <v>2046</v>
      </c>
      <c r="AE22" s="234">
        <f t="shared" ref="AE22" si="29">AD22+1</f>
        <v>2047</v>
      </c>
      <c r="AF22" s="234">
        <f t="shared" ref="AF22" si="30">AE22+1</f>
        <v>2048</v>
      </c>
      <c r="AG22" s="234">
        <v>2049</v>
      </c>
      <c r="AH22" s="234">
        <v>2050</v>
      </c>
      <c r="AI22" s="234">
        <v>2051</v>
      </c>
      <c r="AJ22" s="234">
        <v>2052</v>
      </c>
      <c r="AK22" s="234">
        <v>2053</v>
      </c>
      <c r="AL22" s="234">
        <v>2054</v>
      </c>
      <c r="AM22" s="234">
        <v>2055</v>
      </c>
    </row>
    <row r="23" spans="1:39">
      <c r="B23" s="81" t="s">
        <v>111</v>
      </c>
      <c r="C23" s="64"/>
      <c r="D23" s="214">
        <v>1.23</v>
      </c>
      <c r="E23" s="212">
        <f>D23</f>
        <v>1.23</v>
      </c>
      <c r="F23" s="212">
        <f t="shared" ref="F23:AL23" si="31">E23</f>
        <v>1.23</v>
      </c>
      <c r="G23" s="212">
        <f t="shared" si="31"/>
        <v>1.23</v>
      </c>
      <c r="H23" s="212">
        <f t="shared" si="31"/>
        <v>1.23</v>
      </c>
      <c r="I23" s="212">
        <f t="shared" si="31"/>
        <v>1.23</v>
      </c>
      <c r="J23" s="212">
        <f t="shared" si="31"/>
        <v>1.23</v>
      </c>
      <c r="K23" s="212">
        <f t="shared" si="31"/>
        <v>1.23</v>
      </c>
      <c r="L23" s="212">
        <f t="shared" si="31"/>
        <v>1.23</v>
      </c>
      <c r="M23" s="212">
        <f t="shared" si="31"/>
        <v>1.23</v>
      </c>
      <c r="N23" s="212">
        <f t="shared" si="31"/>
        <v>1.23</v>
      </c>
      <c r="O23" s="212">
        <f t="shared" si="31"/>
        <v>1.23</v>
      </c>
      <c r="P23" s="212">
        <f t="shared" si="31"/>
        <v>1.23</v>
      </c>
      <c r="Q23" s="212">
        <f t="shared" si="31"/>
        <v>1.23</v>
      </c>
      <c r="R23" s="212">
        <f t="shared" si="31"/>
        <v>1.23</v>
      </c>
      <c r="S23" s="212">
        <f t="shared" si="31"/>
        <v>1.23</v>
      </c>
      <c r="T23" s="212">
        <f t="shared" si="31"/>
        <v>1.23</v>
      </c>
      <c r="U23" s="212">
        <f t="shared" si="31"/>
        <v>1.23</v>
      </c>
      <c r="V23" s="212">
        <f t="shared" si="31"/>
        <v>1.23</v>
      </c>
      <c r="W23" s="212">
        <f t="shared" si="31"/>
        <v>1.23</v>
      </c>
      <c r="X23" s="212">
        <f t="shared" si="31"/>
        <v>1.23</v>
      </c>
      <c r="Y23" s="212">
        <f t="shared" si="31"/>
        <v>1.23</v>
      </c>
      <c r="Z23" s="212">
        <f t="shared" si="31"/>
        <v>1.23</v>
      </c>
      <c r="AA23" s="212">
        <f t="shared" si="31"/>
        <v>1.23</v>
      </c>
      <c r="AB23" s="212">
        <f t="shared" si="31"/>
        <v>1.23</v>
      </c>
      <c r="AC23" s="212">
        <f t="shared" si="31"/>
        <v>1.23</v>
      </c>
      <c r="AD23" s="212">
        <f t="shared" si="31"/>
        <v>1.23</v>
      </c>
      <c r="AE23" s="212">
        <f t="shared" si="31"/>
        <v>1.23</v>
      </c>
      <c r="AF23" s="212">
        <f t="shared" si="31"/>
        <v>1.23</v>
      </c>
      <c r="AG23" s="212">
        <f t="shared" si="31"/>
        <v>1.23</v>
      </c>
      <c r="AH23" s="212">
        <f t="shared" si="31"/>
        <v>1.23</v>
      </c>
      <c r="AI23" s="212">
        <f t="shared" si="31"/>
        <v>1.23</v>
      </c>
      <c r="AJ23" s="212">
        <f t="shared" si="31"/>
        <v>1.23</v>
      </c>
      <c r="AK23" s="212">
        <f t="shared" si="31"/>
        <v>1.23</v>
      </c>
      <c r="AL23" s="212">
        <f t="shared" si="31"/>
        <v>1.23</v>
      </c>
      <c r="AM23" s="212">
        <f t="shared" ref="AM23" si="32">AL23</f>
        <v>1.23</v>
      </c>
    </row>
    <row r="24" spans="1:39">
      <c r="B24" s="82" t="s">
        <v>112</v>
      </c>
      <c r="C24" s="65"/>
      <c r="D24" s="213">
        <f>D23*(1+'Other Inputs'!$C$11)^(Emissions!D22-$D$22)</f>
        <v>1.23</v>
      </c>
      <c r="E24" s="213">
        <f>E23*(1+'Other Inputs'!$C$11)^(Emissions!E22-$D$22)</f>
        <v>1.2545999999999999</v>
      </c>
      <c r="F24" s="213">
        <f>F23*(1+'Other Inputs'!$C$11)^(Emissions!F22-$D$22)</f>
        <v>1.2796920000000001</v>
      </c>
      <c r="G24" s="213">
        <f>G23*(1+'Other Inputs'!$C$11)^(Emissions!G22-$D$22)</f>
        <v>1.3052858399999998</v>
      </c>
      <c r="H24" s="213">
        <f>H23*(1+'Other Inputs'!$C$11)^(Emissions!H22-$D$22)</f>
        <v>1.3313915567999999</v>
      </c>
      <c r="I24" s="213">
        <f>I23*(1+'Other Inputs'!$C$11)^(Emissions!I22-$D$22)</f>
        <v>1.3580193879360001</v>
      </c>
      <c r="J24" s="213">
        <f>J23*(1+'Other Inputs'!$C$11)^(Emissions!J22-$D$22)</f>
        <v>1.3851797756947202</v>
      </c>
      <c r="K24" s="213">
        <f>K23*(1+'Other Inputs'!$C$11)^(Emissions!K22-$D$22)</f>
        <v>1.4128833712086142</v>
      </c>
      <c r="L24" s="213">
        <f>L23*(1+'Other Inputs'!$C$11)^(Emissions!L22-$D$22)</f>
        <v>1.4411410386327865</v>
      </c>
      <c r="M24" s="213">
        <f>M23*(1+'Other Inputs'!$C$11)^(Emissions!M22-$D$22)</f>
        <v>1.4699638594054423</v>
      </c>
      <c r="N24" s="213">
        <f>N23*(1+'Other Inputs'!$C$11)^(Emissions!N22-$D$22)</f>
        <v>1.4993631365935511</v>
      </c>
      <c r="O24" s="213">
        <f>O23*(1+'Other Inputs'!$C$11)^(Emissions!O22-$D$22)</f>
        <v>1.529350399325422</v>
      </c>
      <c r="P24" s="213">
        <f>P23*(1+'Other Inputs'!$C$11)^(Emissions!P22-$D$22)</f>
        <v>1.5599374073119308</v>
      </c>
      <c r="Q24" s="213">
        <f>Q23*(1+'Other Inputs'!$C$11)^(Emissions!Q22-$D$22)</f>
        <v>1.5911361554581691</v>
      </c>
      <c r="R24" s="213">
        <f>R23*(1+'Other Inputs'!$C$11)^(Emissions!R22-$D$22)</f>
        <v>1.6229588785673328</v>
      </c>
      <c r="S24" s="213">
        <f>S23*(1+'Other Inputs'!$C$11)^(Emissions!S22-$D$22)</f>
        <v>1.6554180561386789</v>
      </c>
      <c r="T24" s="213">
        <f>T23*(1+'Other Inputs'!$C$11)^(Emissions!T22-$D$22)</f>
        <v>1.6885264172614527</v>
      </c>
      <c r="U24" s="213">
        <f>U23*(1+'Other Inputs'!$C$11)^(Emissions!U22-$D$22)</f>
        <v>1.7222969456066819</v>
      </c>
      <c r="V24" s="213">
        <f>V23*(1+'Other Inputs'!$C$11)^(Emissions!V22-$D$22)</f>
        <v>1.7567428845188153</v>
      </c>
      <c r="W24" s="213">
        <f>W23*(1+'Other Inputs'!$C$11)^(Emissions!W22-$D$22)</f>
        <v>1.7918777422091916</v>
      </c>
      <c r="X24" s="213">
        <f>X23*(1+'Other Inputs'!$C$11)^(Emissions!X22-$D$22)</f>
        <v>1.8277152970533757</v>
      </c>
      <c r="Y24" s="213">
        <f>Y23*(1+'Other Inputs'!$C$11)^(Emissions!Y22-$D$22)</f>
        <v>1.864269602994443</v>
      </c>
      <c r="Z24" s="213">
        <f>Z23*(1+'Other Inputs'!$C$11)^(Emissions!Z22-$D$22)</f>
        <v>1.901554995054332</v>
      </c>
      <c r="AA24" s="213">
        <f>AA23*(1+'Other Inputs'!$C$11)^(Emissions!AA22-$D$22)</f>
        <v>1.9395860949554182</v>
      </c>
      <c r="AB24" s="213">
        <f>AB23*(1+'Other Inputs'!$C$11)^(Emissions!AB22-$D$22)</f>
        <v>1.9783778168545267</v>
      </c>
      <c r="AC24" s="213">
        <f>AC23*(1+'Other Inputs'!$C$11)^(Emissions!AC22-$D$22)</f>
        <v>2.0179453731916173</v>
      </c>
      <c r="AD24" s="213">
        <f>AD23*(1+'Other Inputs'!$C$11)^(Emissions!AD22-$D$22)</f>
        <v>2.0583042806554497</v>
      </c>
      <c r="AE24" s="213">
        <f>AE23*(1+'Other Inputs'!$C$11)^(Emissions!AE22-$D$22)</f>
        <v>2.0994703662685583</v>
      </c>
      <c r="AF24" s="213">
        <f>AF23*(1+'Other Inputs'!$C$11)^(Emissions!AF22-$D$22)</f>
        <v>2.14145977359393</v>
      </c>
      <c r="AG24" s="213">
        <f>AG23*(1+'Other Inputs'!$C$11)^(Emissions!AG22-$D$22)</f>
        <v>2.1842889690658085</v>
      </c>
      <c r="AH24" s="213">
        <f>AH23*(1+'Other Inputs'!$C$11)^(Emissions!AH22-$D$22)</f>
        <v>2.2279747484471248</v>
      </c>
      <c r="AI24" s="213">
        <f>AI23*(1+'Other Inputs'!$C$11)^(Emissions!AI22-$D$22)</f>
        <v>2.2725342434160667</v>
      </c>
      <c r="AJ24" s="213">
        <f>AJ23*(1+'Other Inputs'!$C$11)^(Emissions!AJ22-$D$22)</f>
        <v>2.3179849282843885</v>
      </c>
      <c r="AK24" s="213">
        <f>AK23*(1+'Other Inputs'!$C$11)^(Emissions!AK22-$D$22)</f>
        <v>2.3643446268500763</v>
      </c>
      <c r="AL24" s="213">
        <f>AL23*(1+'Other Inputs'!$C$11)^(Emissions!AL22-$D$22)</f>
        <v>2.4116315193870776</v>
      </c>
      <c r="AM24" s="213">
        <f>AM23*(1+'Other Inputs'!$C$11)^(Emissions!AM22-$D$22)</f>
        <v>2.4598641497748193</v>
      </c>
    </row>
    <row r="25" spans="1:39">
      <c r="B25" s="81" t="s">
        <v>113</v>
      </c>
      <c r="C25" s="65"/>
      <c r="D25" s="207">
        <v>51</v>
      </c>
      <c r="E25" s="212">
        <f>D25+($I25-$D25)/($I$22-$D$22)</f>
        <v>52</v>
      </c>
      <c r="F25" s="212">
        <f t="shared" ref="E25:H26" si="33">E25+($I25-$D25)/($I$22-$D$22)</f>
        <v>53</v>
      </c>
      <c r="G25" s="212">
        <f t="shared" si="33"/>
        <v>54</v>
      </c>
      <c r="H25" s="212">
        <f t="shared" si="33"/>
        <v>55</v>
      </c>
      <c r="I25" s="207">
        <v>56</v>
      </c>
      <c r="J25" s="212">
        <f t="shared" ref="J25:M26" si="34">I25+($N25-$I25)/($N$22-$I$22)</f>
        <v>57.2</v>
      </c>
      <c r="K25" s="212">
        <f t="shared" si="34"/>
        <v>58.400000000000006</v>
      </c>
      <c r="L25" s="212">
        <f t="shared" si="34"/>
        <v>59.600000000000009</v>
      </c>
      <c r="M25" s="212">
        <f t="shared" si="34"/>
        <v>60.800000000000011</v>
      </c>
      <c r="N25" s="207">
        <v>62</v>
      </c>
      <c r="O25" s="212">
        <f>N25+($S25-$N25)/($S$22-$N$22)</f>
        <v>63</v>
      </c>
      <c r="P25" s="212">
        <f t="shared" ref="P25:R26" si="35">O25+($S25-$N25)/($S$22-$N$22)</f>
        <v>64</v>
      </c>
      <c r="Q25" s="212">
        <f t="shared" si="35"/>
        <v>65</v>
      </c>
      <c r="R25" s="212">
        <f t="shared" si="35"/>
        <v>66</v>
      </c>
      <c r="S25" s="207">
        <v>67</v>
      </c>
      <c r="T25" s="212">
        <f>S25+($X25-$S25)/($X$22-$S$22)</f>
        <v>68.2</v>
      </c>
      <c r="U25" s="212">
        <f t="shared" ref="U25:W26" si="36">T25+($X25-$S25)/($X$22-$S$22)</f>
        <v>69.400000000000006</v>
      </c>
      <c r="V25" s="212">
        <f t="shared" si="36"/>
        <v>70.600000000000009</v>
      </c>
      <c r="W25" s="212">
        <f t="shared" si="36"/>
        <v>71.800000000000011</v>
      </c>
      <c r="X25" s="207">
        <v>73</v>
      </c>
      <c r="Y25" s="212">
        <f>X25+($AC25-$X25)/($AC$22-$X$22)</f>
        <v>74.2</v>
      </c>
      <c r="Z25" s="212">
        <f t="shared" ref="Z25:AB26" si="37">Y25+($AC25-$X25)/($AC$22-$X$22)</f>
        <v>75.400000000000006</v>
      </c>
      <c r="AA25" s="212">
        <f t="shared" si="37"/>
        <v>76.600000000000009</v>
      </c>
      <c r="AB25" s="212">
        <f t="shared" si="37"/>
        <v>77.800000000000011</v>
      </c>
      <c r="AC25" s="207">
        <v>79</v>
      </c>
      <c r="AD25" s="212">
        <f>AC25+($AC25-$X25)/($AC$22-$X$22)</f>
        <v>80.2</v>
      </c>
      <c r="AE25" s="212">
        <f>AD25+($AC25-$X25)/($AC$22-$X$22)</f>
        <v>81.400000000000006</v>
      </c>
      <c r="AF25" s="212">
        <f>AE25+($AC25-$X25)/($AC$22-$X$22)</f>
        <v>82.600000000000009</v>
      </c>
      <c r="AG25" s="212">
        <f>AF25+($AC25-$X25)/($AC$22-$X$22)</f>
        <v>83.800000000000011</v>
      </c>
      <c r="AH25" s="212">
        <f t="shared" ref="AH25:AL25" si="38">AG25+($AC25-$X25)/($AC$22-$X$22)</f>
        <v>85.000000000000014</v>
      </c>
      <c r="AI25" s="212">
        <f t="shared" si="38"/>
        <v>86.200000000000017</v>
      </c>
      <c r="AJ25" s="212">
        <f t="shared" si="38"/>
        <v>87.40000000000002</v>
      </c>
      <c r="AK25" s="212">
        <f t="shared" si="38"/>
        <v>88.600000000000023</v>
      </c>
      <c r="AL25" s="212">
        <f t="shared" si="38"/>
        <v>89.800000000000026</v>
      </c>
      <c r="AM25" s="212">
        <f t="shared" ref="AM25:AM26" si="39">AL25+($AC25-$X25)/($AC$22-$X$22)</f>
        <v>91.000000000000028</v>
      </c>
    </row>
    <row r="26" spans="1:39">
      <c r="B26" s="82" t="s">
        <v>114</v>
      </c>
      <c r="C26" s="65"/>
      <c r="D26" s="207">
        <v>152</v>
      </c>
      <c r="E26" s="212">
        <f t="shared" si="33"/>
        <v>155.4</v>
      </c>
      <c r="F26" s="212">
        <f t="shared" si="33"/>
        <v>158.80000000000001</v>
      </c>
      <c r="G26" s="212">
        <f t="shared" si="33"/>
        <v>162.20000000000002</v>
      </c>
      <c r="H26" s="212">
        <f t="shared" si="33"/>
        <v>165.60000000000002</v>
      </c>
      <c r="I26" s="214">
        <v>169</v>
      </c>
      <c r="J26" s="212">
        <f t="shared" si="34"/>
        <v>172.6</v>
      </c>
      <c r="K26" s="212">
        <f t="shared" si="34"/>
        <v>176.2</v>
      </c>
      <c r="L26" s="212">
        <f t="shared" si="34"/>
        <v>179.79999999999998</v>
      </c>
      <c r="M26" s="212">
        <f t="shared" si="34"/>
        <v>183.39999999999998</v>
      </c>
      <c r="N26" s="214">
        <v>187</v>
      </c>
      <c r="O26" s="212">
        <f>N26+($S26-$N26)/($S$22-$N$22)</f>
        <v>190.8</v>
      </c>
      <c r="P26" s="212">
        <f t="shared" si="35"/>
        <v>194.60000000000002</v>
      </c>
      <c r="Q26" s="212">
        <f t="shared" si="35"/>
        <v>198.40000000000003</v>
      </c>
      <c r="R26" s="212">
        <f t="shared" si="35"/>
        <v>202.20000000000005</v>
      </c>
      <c r="S26" s="214">
        <v>206</v>
      </c>
      <c r="T26" s="212">
        <f>S26+($X26-$S26)/($X$22-$S$22)</f>
        <v>209.8</v>
      </c>
      <c r="U26" s="212">
        <f t="shared" si="36"/>
        <v>213.60000000000002</v>
      </c>
      <c r="V26" s="212">
        <f t="shared" si="36"/>
        <v>217.40000000000003</v>
      </c>
      <c r="W26" s="212">
        <f t="shared" si="36"/>
        <v>221.20000000000005</v>
      </c>
      <c r="X26" s="214">
        <v>225</v>
      </c>
      <c r="Y26" s="212">
        <f>X26+($AC26-$X26)/($AC$22-$X$22)</f>
        <v>228.4</v>
      </c>
      <c r="Z26" s="212">
        <f t="shared" si="37"/>
        <v>231.8</v>
      </c>
      <c r="AA26" s="212">
        <f t="shared" si="37"/>
        <v>235.20000000000002</v>
      </c>
      <c r="AB26" s="212">
        <f t="shared" si="37"/>
        <v>238.60000000000002</v>
      </c>
      <c r="AC26" s="214">
        <v>242</v>
      </c>
      <c r="AD26" s="212">
        <f>AC26+($AC26-$X26)/($AC$22-$X$22)</f>
        <v>245.4</v>
      </c>
      <c r="AE26" s="212">
        <f t="shared" ref="AE26:AG26" si="40">AD26+($AC26-$X26)/($AC$22-$X$22)</f>
        <v>248.8</v>
      </c>
      <c r="AF26" s="212">
        <f t="shared" si="40"/>
        <v>252.20000000000002</v>
      </c>
      <c r="AG26" s="212">
        <f t="shared" si="40"/>
        <v>255.60000000000002</v>
      </c>
      <c r="AH26" s="212">
        <f t="shared" ref="AH26:AL26" si="41">AG26+($AC26-$X26)/($AC$22-$X$22)</f>
        <v>259</v>
      </c>
      <c r="AI26" s="212">
        <f t="shared" si="41"/>
        <v>262.39999999999998</v>
      </c>
      <c r="AJ26" s="212">
        <f t="shared" si="41"/>
        <v>265.79999999999995</v>
      </c>
      <c r="AK26" s="212">
        <f t="shared" si="41"/>
        <v>269.19999999999993</v>
      </c>
      <c r="AL26" s="212">
        <f t="shared" si="41"/>
        <v>272.59999999999991</v>
      </c>
      <c r="AM26" s="212">
        <f t="shared" si="39"/>
        <v>275.99999999999989</v>
      </c>
    </row>
    <row r="27" spans="1:39">
      <c r="B27" s="81" t="s">
        <v>115</v>
      </c>
      <c r="C27" s="65"/>
      <c r="D27" s="212">
        <f>D25*(1+'Other Inputs'!$C$11)^(D22-$D$22)</f>
        <v>51</v>
      </c>
      <c r="E27" s="212">
        <f>E25*(1+'Other Inputs'!$C$11)^(E22-$D$22)</f>
        <v>53.04</v>
      </c>
      <c r="F27" s="212">
        <f>F25*(1+'Other Inputs'!$C$11)^(F22-$D$22)</f>
        <v>55.141199999999998</v>
      </c>
      <c r="G27" s="212">
        <f>G25*(1+'Other Inputs'!$C$11)^(G22-$D$22)</f>
        <v>57.305231999999997</v>
      </c>
      <c r="H27" s="212">
        <f>H25*(1+'Other Inputs'!$C$11)^(H22-$D$22)</f>
        <v>59.533768799999997</v>
      </c>
      <c r="I27" s="212">
        <f>I25*(1+'Other Inputs'!$C$11)^(I22-$D$22)</f>
        <v>61.828524979199997</v>
      </c>
      <c r="J27" s="212">
        <f>J25*(1+'Other Inputs'!$C$11)^(J22-$D$22)</f>
        <v>64.4164903819008</v>
      </c>
      <c r="K27" s="212">
        <f>K25*(1+'Other Inputs'!$C$11)^(K22-$D$22)</f>
        <v>67.083242990717949</v>
      </c>
      <c r="L27" s="212">
        <f>L25*(1+'Other Inputs'!$C$11)^(L22-$D$22)</f>
        <v>69.830899107735036</v>
      </c>
      <c r="M27" s="212">
        <f>M25*(1+'Other Inputs'!$C$11)^(M22-$D$22)</f>
        <v>72.661628172236519</v>
      </c>
      <c r="N27" s="212">
        <f>N25*(1+'Other Inputs'!$C$11)^(N22-$D$22)</f>
        <v>75.57765403967494</v>
      </c>
      <c r="O27" s="212">
        <f>O25*(1+'Other Inputs'!$C$11)^(O22-$D$22)</f>
        <v>78.33258142886308</v>
      </c>
      <c r="P27" s="212">
        <f>P25*(1+'Other Inputs'!$C$11)^(P22-$D$22)</f>
        <v>81.167474852002897</v>
      </c>
      <c r="Q27" s="212">
        <f>Q25*(1+'Other Inputs'!$C$11)^(Q22-$D$22)</f>
        <v>84.084430979496744</v>
      </c>
      <c r="R27" s="212">
        <f>R25*(1+'Other Inputs'!$C$11)^(R22-$D$22)</f>
        <v>87.085598362149568</v>
      </c>
      <c r="S27" s="212">
        <f>S25*(1+'Other Inputs'!$C$11)^(S22-$D$22)</f>
        <v>90.173178667716655</v>
      </c>
      <c r="T27" s="212">
        <f>T25*(1+'Other Inputs'!$C$11)^(T22-$D$22)</f>
        <v>93.623985087179747</v>
      </c>
      <c r="U27" s="212">
        <f>U25*(1+'Other Inputs'!$C$11)^(U22-$D$22)</f>
        <v>97.176754491954256</v>
      </c>
      <c r="V27" s="212">
        <f>V25*(1+'Other Inputs'!$C$11)^(V22-$D$22)</f>
        <v>100.83418507888487</v>
      </c>
      <c r="W27" s="212">
        <f>W25*(1+'Other Inputs'!$C$11)^(W22-$D$22)</f>
        <v>104.59904218749593</v>
      </c>
      <c r="X27" s="212">
        <f>X25*(1+'Other Inputs'!$C$11)^(X22-$D$22)</f>
        <v>108.47415990641986</v>
      </c>
      <c r="Y27" s="212">
        <f>Y25*(1+'Other Inputs'!$C$11)^(Y22-$D$22)</f>
        <v>112.46244271722576</v>
      </c>
      <c r="Z27" s="212">
        <f>Z25*(1+'Other Inputs'!$C$11)^(Z22-$D$22)</f>
        <v>116.56686717650133</v>
      </c>
      <c r="AA27" s="212">
        <f>AA25*(1+'Other Inputs'!$C$11)^(AA22-$D$22)</f>
        <v>120.79048363706103</v>
      </c>
      <c r="AB27" s="212">
        <f>AB25*(1+'Other Inputs'!$C$11)^(AB22-$D$22)</f>
        <v>125.13641800917253</v>
      </c>
      <c r="AC27" s="212">
        <f>AC25*(1+'Other Inputs'!$C$11)^(AC22-$D$22)</f>
        <v>129.60787356271362</v>
      </c>
      <c r="AD27" s="212">
        <f>AD25*(1+'Other Inputs'!$C$11)^(AD22-$D$22)</f>
        <v>134.20813277119277</v>
      </c>
      <c r="AE27" s="212">
        <f>AE25*(1+'Other Inputs'!$C$11)^(AE22-$D$22)</f>
        <v>138.9405591985859</v>
      </c>
      <c r="AF27" s="212">
        <f>AF25*(1+'Other Inputs'!$C$11)^(AF22-$D$22)</f>
        <v>143.80859942996639</v>
      </c>
      <c r="AG27" s="212">
        <f>AG25*(1+'Other Inputs'!$C$11)^(AG22-$D$22)</f>
        <v>148.81578504692257</v>
      </c>
      <c r="AH27" s="212">
        <f>AH25*(1+'Other Inputs'!$C$11)^(AH22-$D$22)</f>
        <v>153.96573464878506</v>
      </c>
      <c r="AI27" s="212">
        <f>AI25*(1+'Other Inputs'!$C$11)^(AI22-$D$22)</f>
        <v>159.26215592070324</v>
      </c>
      <c r="AJ27" s="212">
        <f>AJ25*(1+'Other Inputs'!$C$11)^(AJ22-$D$22)</f>
        <v>164.70884774963869</v>
      </c>
      <c r="AK27" s="212">
        <f>AK25*(1+'Other Inputs'!$C$11)^(AK22-$D$22)</f>
        <v>170.30970238936328</v>
      </c>
      <c r="AL27" s="212">
        <f>AL25*(1+'Other Inputs'!$C$11)^(AL22-$D$22)</f>
        <v>176.06870767557695</v>
      </c>
      <c r="AM27" s="212">
        <f>AM25*(1+'Other Inputs'!$C$11)^(AM22-$D$22)</f>
        <v>181.98994929228343</v>
      </c>
    </row>
    <row r="28" spans="1:39">
      <c r="B28" s="82" t="s">
        <v>116</v>
      </c>
      <c r="C28" s="66"/>
      <c r="D28" s="212">
        <f>D26*(1+'Other Inputs'!$C$11)^(D22-$D$22)</f>
        <v>152</v>
      </c>
      <c r="E28" s="212">
        <f>E26*(1+'Other Inputs'!$C$11)^(E22-$D$22)</f>
        <v>158.50800000000001</v>
      </c>
      <c r="F28" s="212">
        <f>F26*(1+'Other Inputs'!$C$11)^(F22-$D$22)</f>
        <v>165.21552</v>
      </c>
      <c r="G28" s="212">
        <f>G26*(1+'Other Inputs'!$C$11)^(G22-$D$22)</f>
        <v>172.1279376</v>
      </c>
      <c r="H28" s="212">
        <f>H26*(1+'Other Inputs'!$C$11)^(H22-$D$22)</f>
        <v>179.25076569600003</v>
      </c>
      <c r="I28" s="212">
        <f>I26*(1+'Other Inputs'!$C$11)^(I22-$D$22)</f>
        <v>186.5896557408</v>
      </c>
      <c r="J28" s="212">
        <f>J26*(1+'Other Inputs'!$C$11)^(J22-$D$22)</f>
        <v>194.37563356496639</v>
      </c>
      <c r="K28" s="212">
        <f>K26*(1+'Other Inputs'!$C$11)^(K22-$D$22)</f>
        <v>202.39841463980309</v>
      </c>
      <c r="L28" s="212">
        <f>L26*(1+'Other Inputs'!$C$11)^(L22-$D$22)</f>
        <v>210.66435670420731</v>
      </c>
      <c r="M28" s="212">
        <f>M26*(1+'Other Inputs'!$C$11)^(M22-$D$22)</f>
        <v>219.17997708533179</v>
      </c>
      <c r="N28" s="212">
        <f>N26*(1+'Other Inputs'!$C$11)^(N22-$D$22)</f>
        <v>227.95195653901959</v>
      </c>
      <c r="O28" s="212">
        <f>O26*(1+'Other Inputs'!$C$11)^(O22-$D$22)</f>
        <v>237.23581804169962</v>
      </c>
      <c r="P28" s="212">
        <f>P26*(1+'Other Inputs'!$C$11)^(P22-$D$22)</f>
        <v>246.79985322187133</v>
      </c>
      <c r="Q28" s="212">
        <f>Q26*(1+'Other Inputs'!$C$11)^(Q22-$D$22)</f>
        <v>256.65155548203319</v>
      </c>
      <c r="R28" s="212">
        <f>R26*(1+'Other Inputs'!$C$11)^(R22-$D$22)</f>
        <v>266.79860589131283</v>
      </c>
      <c r="S28" s="212">
        <f>S26*(1+'Other Inputs'!$C$11)^(S22-$D$22)</f>
        <v>277.24887769477061</v>
      </c>
      <c r="T28" s="212">
        <f>T26*(1+'Other Inputs'!$C$11)^(T22-$D$22)</f>
        <v>288.01044092801044</v>
      </c>
      <c r="U28" s="212">
        <f>U26*(1+'Other Inputs'!$C$11)^(U22-$D$22)</f>
        <v>299.09156713950188</v>
      </c>
      <c r="V28" s="212">
        <f>V26*(1+'Other Inputs'!$C$11)^(V22-$D$22)</f>
        <v>310.50073422308174</v>
      </c>
      <c r="W28" s="212">
        <f>W26*(1+'Other Inputs'!$C$11)^(W22-$D$22)</f>
        <v>322.24663136314899</v>
      </c>
      <c r="X28" s="212">
        <f>X26*(1+'Other Inputs'!$C$11)^(X22-$D$22)</f>
        <v>334.33816409512968</v>
      </c>
      <c r="Y28" s="212">
        <f>Y26*(1+'Other Inputs'!$C$11)^(Y22-$D$22)</f>
        <v>346.17819294628521</v>
      </c>
      <c r="Z28" s="212">
        <f>Z26*(1+'Other Inputs'!$C$11)^(Z22-$D$22)</f>
        <v>358.35808768584894</v>
      </c>
      <c r="AA28" s="212">
        <f>AA26*(1+'Other Inputs'!$C$11)^(AA22-$D$22)</f>
        <v>370.8867069378166</v>
      </c>
      <c r="AB28" s="212">
        <f>AB26*(1+'Other Inputs'!$C$11)^(AB22-$D$22)</f>
        <v>383.77312772478871</v>
      </c>
      <c r="AC28" s="212">
        <f>AC26*(1+'Other Inputs'!$C$11)^(AC22-$D$22)</f>
        <v>397.02665066046455</v>
      </c>
      <c r="AD28" s="212">
        <f>AD26*(1+'Other Inputs'!$C$11)^(AD22-$D$22)</f>
        <v>410.65680526247758</v>
      </c>
      <c r="AE28" s="212">
        <f>AE26*(1+'Other Inputs'!$C$11)^(AE22-$D$22)</f>
        <v>424.67335538830679</v>
      </c>
      <c r="AF28" s="212">
        <f>AF26*(1+'Other Inputs'!$C$11)^(AF22-$D$22)</f>
        <v>439.08630479706443</v>
      </c>
      <c r="AG28" s="212">
        <f>AG26*(1+'Other Inputs'!$C$11)^(AG22-$D$22)</f>
        <v>453.90590284001684</v>
      </c>
      <c r="AH28" s="212">
        <f>AH26*(1+'Other Inputs'!$C$11)^(AH22-$D$22)</f>
        <v>469.14265028276856</v>
      </c>
      <c r="AI28" s="212">
        <f>AI26*(1+'Other Inputs'!$C$11)^(AI22-$D$22)</f>
        <v>484.80730526209419</v>
      </c>
      <c r="AJ28" s="212">
        <f>AJ26*(1+'Other Inputs'!$C$11)^(AJ22-$D$22)</f>
        <v>500.91088938048</v>
      </c>
      <c r="AK28" s="212">
        <f>AK26*(1+'Other Inputs'!$C$11)^(AK22-$D$22)</f>
        <v>517.46469394149631</v>
      </c>
      <c r="AL28" s="212">
        <f>AL26*(1+'Other Inputs'!$C$11)^(AL22-$D$22)</f>
        <v>534.48028632920091</v>
      </c>
      <c r="AM28" s="212">
        <f>AM26*(1+'Other Inputs'!$C$11)^(AM22-$D$22)</f>
        <v>551.96951653483723</v>
      </c>
    </row>
    <row r="29" spans="1:39">
      <c r="C29" s="33"/>
      <c r="D29" s="33"/>
      <c r="E29" s="33"/>
      <c r="F29" s="33"/>
      <c r="G29" s="33"/>
      <c r="H29" s="33"/>
      <c r="I29" s="33"/>
      <c r="J29" s="33"/>
      <c r="K29" s="33"/>
      <c r="L29" s="33"/>
      <c r="M29" s="33"/>
      <c r="N29" s="33"/>
      <c r="O29" s="34"/>
      <c r="P29" s="34"/>
      <c r="Q29" s="34"/>
      <c r="R29" s="34"/>
      <c r="S29" s="33"/>
      <c r="T29" s="33"/>
      <c r="U29" s="33"/>
      <c r="V29" s="33"/>
    </row>
    <row r="30" spans="1:39">
      <c r="B30" s="234" t="s">
        <v>117</v>
      </c>
      <c r="C30" s="234"/>
      <c r="D30" s="234"/>
      <c r="E30" s="234"/>
      <c r="F30" s="234"/>
      <c r="G30" s="234"/>
      <c r="H30" s="234"/>
      <c r="I30" s="234">
        <v>2025</v>
      </c>
      <c r="J30" s="234">
        <v>2026</v>
      </c>
      <c r="K30" s="234">
        <v>2027</v>
      </c>
      <c r="L30" s="234">
        <v>2028</v>
      </c>
      <c r="M30" s="234">
        <v>2029</v>
      </c>
      <c r="N30" s="234">
        <v>2030</v>
      </c>
      <c r="O30" s="234">
        <v>2031</v>
      </c>
      <c r="P30" s="234">
        <v>2032</v>
      </c>
      <c r="Q30" s="234">
        <v>2033</v>
      </c>
      <c r="R30" s="234">
        <v>2034</v>
      </c>
      <c r="S30" s="234">
        <v>2035</v>
      </c>
      <c r="T30" s="234">
        <v>2036</v>
      </c>
      <c r="U30" s="234">
        <v>2037</v>
      </c>
      <c r="V30" s="234">
        <v>2038</v>
      </c>
      <c r="W30" s="234">
        <v>2039</v>
      </c>
      <c r="X30" s="234">
        <v>2040</v>
      </c>
      <c r="Y30" s="234">
        <v>2041</v>
      </c>
      <c r="Z30" s="234">
        <v>2042</v>
      </c>
      <c r="AA30" s="234">
        <v>2043</v>
      </c>
      <c r="AB30" s="234">
        <v>2044</v>
      </c>
      <c r="AC30" s="234">
        <v>2045</v>
      </c>
      <c r="AD30" s="234">
        <v>2046</v>
      </c>
      <c r="AE30" s="234">
        <v>2047</v>
      </c>
      <c r="AF30" s="234">
        <v>2048</v>
      </c>
      <c r="AG30" s="234">
        <v>2049</v>
      </c>
      <c r="AH30" s="234">
        <v>2050</v>
      </c>
      <c r="AI30" s="234">
        <v>2051</v>
      </c>
      <c r="AJ30" s="234">
        <v>2052</v>
      </c>
      <c r="AK30" s="234">
        <v>2053</v>
      </c>
      <c r="AL30" s="234">
        <v>2054</v>
      </c>
      <c r="AM30" s="234">
        <v>2055</v>
      </c>
    </row>
    <row r="31" spans="1:39">
      <c r="A31" s="37"/>
      <c r="B31" s="83" t="s">
        <v>112</v>
      </c>
      <c r="C31" s="81"/>
      <c r="D31" s="254"/>
      <c r="E31" s="254"/>
      <c r="F31" s="254"/>
      <c r="G31" s="254"/>
      <c r="H31" s="254"/>
      <c r="I31" s="80">
        <f>IF('User Dashboard'!$C$10="TRC",0,I24)*('User Dashboard'!$C$33/MAX(Emissions!$F$6:$F$12))</f>
        <v>0</v>
      </c>
      <c r="J31" s="80">
        <f>IF('User Dashboard'!$C$10="TRC",0,J24)*('User Dashboard'!$C$33/MAX(Emissions!$F$6:$F$12))</f>
        <v>0</v>
      </c>
      <c r="K31" s="80">
        <f>IF('User Dashboard'!$C$10="TRC",0,K24)*('User Dashboard'!$C$33/MAX(Emissions!$F$6:$F$12))</f>
        <v>0</v>
      </c>
      <c r="L31" s="80">
        <f>IF('User Dashboard'!$C$10="TRC",0,L24)*('User Dashboard'!$C$33/MAX(Emissions!$F$6:$F$12))</f>
        <v>0</v>
      </c>
      <c r="M31" s="80">
        <f>IF('User Dashboard'!$C$10="TRC",0,M24)*('User Dashboard'!$C$33/MAX(Emissions!$F$6:$F$12))</f>
        <v>0</v>
      </c>
      <c r="N31" s="80">
        <f>IF('User Dashboard'!$C$10="TRC",0,N24)*('User Dashboard'!$C$33/MAX(Emissions!$F$6:$F$12))</f>
        <v>0</v>
      </c>
      <c r="O31" s="80">
        <f>IF('User Dashboard'!$C$10="TRC",0,O24)*('User Dashboard'!$C$33/MAX(Emissions!$F$6:$F$12))</f>
        <v>0</v>
      </c>
      <c r="P31" s="80">
        <f>IF('User Dashboard'!$C$10="TRC",0,P24)*('User Dashboard'!$C$33/MAX(Emissions!$F$6:$F$12))</f>
        <v>0</v>
      </c>
      <c r="Q31" s="80">
        <f>IF('User Dashboard'!$C$10="TRC",0,Q24)*('User Dashboard'!$C$33/MAX(Emissions!$F$6:$F$12))</f>
        <v>0</v>
      </c>
      <c r="R31" s="80">
        <f>IF('User Dashboard'!$C$10="TRC",0,R24)*('User Dashboard'!$C$33/MAX(Emissions!$F$6:$F$12))</f>
        <v>0</v>
      </c>
      <c r="S31" s="80">
        <f>IF('User Dashboard'!$C$10="TRC",0,S24)*('User Dashboard'!$C$33/MAX(Emissions!$F$6:$F$12))</f>
        <v>0</v>
      </c>
      <c r="T31" s="80">
        <f>IF('User Dashboard'!$C$10="TRC",0,T24)*('User Dashboard'!$C$33/MAX(Emissions!$F$6:$F$12))</f>
        <v>0</v>
      </c>
      <c r="U31" s="80">
        <f>IF('User Dashboard'!$C$10="TRC",0,U24)*('User Dashboard'!$C$33/MAX(Emissions!$F$6:$F$12))</f>
        <v>0</v>
      </c>
      <c r="V31" s="80">
        <f>IF('User Dashboard'!$C$10="TRC",0,V24)*('User Dashboard'!$C$33/MAX(Emissions!$F$6:$F$12))</f>
        <v>0</v>
      </c>
      <c r="W31" s="80">
        <f>IF('User Dashboard'!$C$10="TRC",0,W24)*('User Dashboard'!$C$33/MAX(Emissions!$F$6:$F$12))</f>
        <v>0</v>
      </c>
      <c r="X31" s="80">
        <f>IF('User Dashboard'!$C$10="TRC",0,X24)*('User Dashboard'!$C$33/MAX(Emissions!$F$6:$F$12))</f>
        <v>0</v>
      </c>
      <c r="Y31" s="80">
        <f>IF('User Dashboard'!$C$10="TRC",0,Y24)*('User Dashboard'!$C$33/MAX(Emissions!$F$6:$F$12))</f>
        <v>0</v>
      </c>
      <c r="Z31" s="80">
        <f>IF('User Dashboard'!$C$10="TRC",0,Z24)*('User Dashboard'!$C$33/MAX(Emissions!$F$6:$F$12))</f>
        <v>0</v>
      </c>
      <c r="AA31" s="80">
        <f>IF('User Dashboard'!$C$10="TRC",0,AA24)*('User Dashboard'!$C$33/MAX(Emissions!$F$6:$F$12))</f>
        <v>0</v>
      </c>
      <c r="AB31" s="80">
        <f>IF('User Dashboard'!$C$10="TRC",0,AB24)*('User Dashboard'!$C$33/MAX(Emissions!$F$6:$F$12))</f>
        <v>0</v>
      </c>
      <c r="AC31" s="80">
        <f>IF('User Dashboard'!$C$10="TRC",0,AC24)*('User Dashboard'!$C$33/MAX(Emissions!$F$6:$F$12))</f>
        <v>0</v>
      </c>
      <c r="AD31" s="80">
        <f>IF('User Dashboard'!$C$10="TRC",0,AD24)*('User Dashboard'!$C$33/MAX(Emissions!$F$6:$F$12))</f>
        <v>0</v>
      </c>
      <c r="AE31" s="80">
        <f>IF('User Dashboard'!$C$10="TRC",0,AE24)*('User Dashboard'!$C$33/MAX(Emissions!$F$6:$F$12))</f>
        <v>0</v>
      </c>
      <c r="AF31" s="80">
        <f>IF('User Dashboard'!$C$10="TRC",0,AF24)*('User Dashboard'!$C$33/MAX(Emissions!$F$6:$F$12))</f>
        <v>0</v>
      </c>
      <c r="AG31" s="80">
        <f>IF('User Dashboard'!$C$10="TRC",0,AG24)*('User Dashboard'!$C$33/MAX(Emissions!$F$6:$F$12))</f>
        <v>0</v>
      </c>
      <c r="AH31" s="80">
        <f>IF('User Dashboard'!$C$10="TRC",0,AH24)*('User Dashboard'!$C$33/MAX(Emissions!$F$6:$F$12))</f>
        <v>0</v>
      </c>
      <c r="AI31" s="80">
        <f>IF('User Dashboard'!$C$10="TRC",0,AI24)*('User Dashboard'!$C$33/MAX(Emissions!$F$6:$F$12))</f>
        <v>0</v>
      </c>
      <c r="AJ31" s="80">
        <f>IF('User Dashboard'!$C$10="TRC",0,AJ24)*('User Dashboard'!$C$33/MAX(Emissions!$F$6:$F$12))</f>
        <v>0</v>
      </c>
      <c r="AK31" s="80">
        <f>IF('User Dashboard'!$C$10="TRC",0,AK24)*('User Dashboard'!$C$33/MAX(Emissions!$F$6:$F$12))</f>
        <v>0</v>
      </c>
      <c r="AL31" s="80">
        <f>IF('User Dashboard'!$C$10="TRC",0,AL24)*('User Dashboard'!$C$33/MAX(Emissions!$F$6:$F$12))</f>
        <v>0</v>
      </c>
      <c r="AM31" s="80">
        <f>IF('User Dashboard'!$C$10="TRC",0,AM24)*('User Dashboard'!$C$33/MAX(Emissions!$F$6:$F$12))</f>
        <v>0</v>
      </c>
    </row>
    <row r="32" spans="1:39">
      <c r="B32" s="83" t="s">
        <v>118</v>
      </c>
      <c r="C32" s="142"/>
      <c r="D32" s="254"/>
      <c r="E32" s="254"/>
      <c r="F32" s="254"/>
      <c r="G32" s="254"/>
      <c r="H32" s="254"/>
      <c r="I32" s="80">
        <f>IF('User Dashboard'!$C$10="TRC",I18,0)</f>
        <v>0.17575494639150183</v>
      </c>
      <c r="J32" s="80">
        <f>IF('User Dashboard'!$C$10="TRC",J18,0)</f>
        <v>0.18784820536087118</v>
      </c>
      <c r="K32" s="80">
        <f>IF('User Dashboard'!$C$10="TRC",K18,0)</f>
        <v>0.19994146433024471</v>
      </c>
      <c r="L32" s="80">
        <f>IF('User Dashboard'!$C$10="TRC",L18,0)</f>
        <v>0.21203472329961823</v>
      </c>
      <c r="M32" s="80">
        <f>IF('User Dashboard'!$C$10="TRC",M18,0)</f>
        <v>0.22412798226899175</v>
      </c>
      <c r="N32" s="80">
        <f>IF('User Dashboard'!$C$10="TRC",N18,0)</f>
        <v>0.2362212412383653</v>
      </c>
      <c r="O32" s="80">
        <f>IF('User Dashboard'!$C$10="TRC",O18,0)</f>
        <v>0.24831450020773882</v>
      </c>
      <c r="P32" s="80">
        <f>IF('User Dashboard'!$C$10="TRC",P18,0)</f>
        <v>0.26040775917710818</v>
      </c>
      <c r="Q32" s="80">
        <f>IF('User Dashboard'!$C$10="TRC",Q18,0)</f>
        <v>0.2725010181464817</v>
      </c>
      <c r="R32" s="80">
        <f>IF('User Dashboard'!$C$10="TRC",R18,0)</f>
        <v>0.28459427711585522</v>
      </c>
      <c r="S32" s="80">
        <f>IF('User Dashboard'!$C$10="TRC",S18,0)</f>
        <v>0.29668753608522874</v>
      </c>
      <c r="T32" s="80">
        <f>IF('User Dashboard'!$C$10="TRC",T18,0)</f>
        <v>0.30878079505460226</v>
      </c>
      <c r="U32" s="80">
        <f>IF('User Dashboard'!$C$10="TRC",U18,0)</f>
        <v>0.32087405402397579</v>
      </c>
      <c r="V32" s="80">
        <f>IF('User Dashboard'!$C$10="TRC",V18,0)</f>
        <v>0.33296731299334931</v>
      </c>
      <c r="W32" s="80">
        <f>IF('User Dashboard'!$C$10="TRC",W18,0)</f>
        <v>0.34506057196271867</v>
      </c>
      <c r="X32" s="80">
        <f>IF('User Dashboard'!$C$10="TRC",X18,0)</f>
        <v>0.35715383093209219</v>
      </c>
      <c r="Y32" s="80">
        <f>IF('User Dashboard'!$C$10="TRC",Y18,0)</f>
        <v>0.36924708990146571</v>
      </c>
      <c r="Z32" s="80">
        <f>IF('User Dashboard'!$C$10="TRC",Z18,0)</f>
        <v>0.38134034887083923</v>
      </c>
      <c r="AA32" s="80">
        <f>IF('User Dashboard'!$C$10="TRC",AA18,0)</f>
        <v>0.39343360784021281</v>
      </c>
      <c r="AB32" s="80">
        <f>IF('User Dashboard'!$C$10="TRC",AB18,0)</f>
        <v>0.40552686680958633</v>
      </c>
      <c r="AC32" s="80">
        <f>IF('User Dashboard'!$C$10="TRC",AC18,0)</f>
        <v>0.41762012577895563</v>
      </c>
      <c r="AD32" s="80">
        <f>IF('User Dashboard'!$C$10="TRC",AD18,0)</f>
        <v>0.42971338474832921</v>
      </c>
      <c r="AE32" s="80">
        <f>IF('User Dashboard'!$C$10="TRC",AE18,0)</f>
        <v>0.44180664371770273</v>
      </c>
      <c r="AF32" s="80">
        <f>IF('User Dashboard'!$C$10="TRC",AF18,0)</f>
        <v>0.45389990268707625</v>
      </c>
      <c r="AG32" s="80">
        <f>IF('User Dashboard'!$C$10="TRC",AG18,0)</f>
        <v>0.46599316165644977</v>
      </c>
      <c r="AH32" s="80">
        <f>IF('User Dashboard'!$C$10="TRC",AH18,0)</f>
        <v>0.47808642062582329</v>
      </c>
      <c r="AI32" s="80">
        <f>IF('User Dashboard'!$C$10="TRC",AI18,0)</f>
        <v>0.49017967959519682</v>
      </c>
      <c r="AJ32" s="80">
        <f>IF('User Dashboard'!$C$10="TRC",AJ18,0)</f>
        <v>0.50227293856456612</v>
      </c>
      <c r="AK32" s="80">
        <f>IF('User Dashboard'!$C$10="TRC",AK18,0)</f>
        <v>0.51436619753393964</v>
      </c>
      <c r="AL32" s="80">
        <f>IF('User Dashboard'!$C$10="TRC",AL18,0)</f>
        <v>0.52645945650331327</v>
      </c>
      <c r="AM32" s="80">
        <f>IF('User Dashboard'!$C$10="TRC",AM18,0)</f>
        <v>0.53855271547268679</v>
      </c>
    </row>
    <row r="33" spans="2:39">
      <c r="B33" s="83" t="s">
        <v>119</v>
      </c>
      <c r="C33" s="82"/>
      <c r="D33" s="254"/>
      <c r="E33" s="254"/>
      <c r="F33" s="254"/>
      <c r="G33" s="254"/>
      <c r="H33" s="254"/>
      <c r="I33" s="80">
        <f>IF('User Dashboard'!$C$10="TRC",I19,MAX(IF('User Dashboard'!$C$11="Base",I27,I28),I19))</f>
        <v>82.708858827352444</v>
      </c>
      <c r="J33" s="79">
        <f>IF('User Dashboard'!$C$10="TRC",J19,MAX(IF('User Dashboard'!$C$11="Base",J27,J28),J19))</f>
        <v>132.30153483151179</v>
      </c>
      <c r="K33" s="79">
        <f>IF('User Dashboard'!$C$10="TRC",K19,MAX(IF('User Dashboard'!$C$11="Base",K27,K28),K19))</f>
        <v>281.46653464045181</v>
      </c>
      <c r="L33" s="79">
        <f>IF('User Dashboard'!$C$10="TRC",L19,MAX(IF('User Dashboard'!$C$11="Base",L27,L28),L19))</f>
        <v>430.76986744041125</v>
      </c>
      <c r="M33" s="79">
        <f>IF('User Dashboard'!$C$10="TRC",M19,MAX(IF('User Dashboard'!$C$11="Base",M27,M28),M19))</f>
        <v>469.76517370176498</v>
      </c>
      <c r="N33" s="79">
        <f>IF('User Dashboard'!$C$10="TRC",N19,MAX(IF('User Dashboard'!$C$11="Base",N27,N28),N19))</f>
        <v>508.96374296427928</v>
      </c>
      <c r="O33" s="79">
        <f>IF('User Dashboard'!$C$10="TRC",O19,MAX(IF('User Dashboard'!$C$11="Base",O27,O28),O19))</f>
        <v>548.35124619136388</v>
      </c>
      <c r="P33" s="79">
        <f>IF('User Dashboard'!$C$10="TRC",P19,MAX(IF('User Dashboard'!$C$11="Base",P27,P28),P19))</f>
        <v>518.41568040483503</v>
      </c>
      <c r="Q33" s="79">
        <f>IF('User Dashboard'!$C$10="TRC",Q19,MAX(IF('User Dashboard'!$C$11="Base",Q27,Q28),Q19))</f>
        <v>488.68054495765654</v>
      </c>
      <c r="R33" s="79">
        <f>IF('User Dashboard'!$C$10="TRC",R19,MAX(IF('User Dashboard'!$C$11="Base",R27,R28),R19))</f>
        <v>459.16761648019809</v>
      </c>
      <c r="S33" s="79">
        <f>IF('User Dashboard'!$C$10="TRC",S19,MAX(IF('User Dashboard'!$C$11="Base",S27,S28),S19))</f>
        <v>429.9004177348653</v>
      </c>
      <c r="T33" s="79">
        <f>IF('User Dashboard'!$C$10="TRC",T19,MAX(IF('User Dashboard'!$C$11="Base",T27,T28),T19))</f>
        <v>400.90901429898997</v>
      </c>
      <c r="U33" s="79">
        <f>IF('User Dashboard'!$C$10="TRC",U19,MAX(IF('User Dashboard'!$C$11="Base",U27,U28),U19))</f>
        <v>415.27409165419465</v>
      </c>
      <c r="V33" s="79">
        <f>IF('User Dashboard'!$C$10="TRC",V19,MAX(IF('User Dashboard'!$C$11="Base",V27,V28),V19))</f>
        <v>429.95238614738946</v>
      </c>
      <c r="W33" s="79">
        <f>IF('User Dashboard'!$C$10="TRC",W19,MAX(IF('User Dashboard'!$C$11="Base",W27,W28),W19))</f>
        <v>444.96175313562492</v>
      </c>
      <c r="X33" s="79">
        <f>IF('User Dashboard'!$C$10="TRC",X19,MAX(IF('User Dashboard'!$C$11="Base",X27,X28),X19))</f>
        <v>460.34197839568225</v>
      </c>
      <c r="Y33" s="79">
        <f>IF('User Dashboard'!$C$10="TRC",Y19,MAX(IF('User Dashboard'!$C$11="Base",Y27,Y28),Y19))</f>
        <v>476.16292459233699</v>
      </c>
      <c r="Z33" s="79">
        <f>IF('User Dashboard'!$C$10="TRC",Z19,MAX(IF('User Dashboard'!$C$11="Base",Z27,Z28),Z19))</f>
        <v>534.23805540899991</v>
      </c>
      <c r="AA33" s="79">
        <f>IF('User Dashboard'!$C$10="TRC",AA19,MAX(IF('User Dashboard'!$C$11="Base",AA27,AA28),AA19))</f>
        <v>592.76584310960004</v>
      </c>
      <c r="AB33" s="79">
        <f>IF('User Dashboard'!$C$10="TRC",AB19,MAX(IF('User Dashboard'!$C$11="Base",AB27,AB28),AB19))</f>
        <v>651.76154429718554</v>
      </c>
      <c r="AC33" s="79">
        <f>IF('User Dashboard'!$C$10="TRC",AC19,MAX(IF('User Dashboard'!$C$11="Base",AC27,AC28),AC19))</f>
        <v>711.28982485475785</v>
      </c>
      <c r="AD33" s="79">
        <f>IF('User Dashboard'!$C$10="TRC",AD19,MAX(IF('User Dashboard'!$C$11="Base",AD27,AD28),AD19))</f>
        <v>725.51562135185304</v>
      </c>
      <c r="AE33" s="79">
        <f>IF('User Dashboard'!$C$10="TRC",AE19,MAX(IF('User Dashboard'!$C$11="Base",AE27,AE28),AE19))</f>
        <v>740.02593377889002</v>
      </c>
      <c r="AF33" s="79">
        <f>IF('User Dashboard'!$C$10="TRC",AF19,MAX(IF('User Dashboard'!$C$11="Base",AF27,AF28),AF19))</f>
        <v>754.82645245446781</v>
      </c>
      <c r="AG33" s="79">
        <f>IF('User Dashboard'!$C$10="TRC",AG19,MAX(IF('User Dashboard'!$C$11="Base",AG27,AG28),AG19))</f>
        <v>769.92298150355725</v>
      </c>
      <c r="AH33" s="79">
        <f>IF('User Dashboard'!$C$10="TRC",AH19,MAX(IF('User Dashboard'!$C$11="Base",AH27,AH28),AH19))</f>
        <v>785.32144113362835</v>
      </c>
      <c r="AI33" s="79">
        <f>IF('User Dashboard'!$C$10="TRC",AI19,MAX(IF('User Dashboard'!$C$11="Base",AI27,AI28),AI19))</f>
        <v>801.02786995630095</v>
      </c>
      <c r="AJ33" s="79">
        <f>IF('User Dashboard'!$C$10="TRC",AJ19,MAX(IF('User Dashboard'!$C$11="Base",AJ27,AJ28),AJ19))</f>
        <v>817.04842735542684</v>
      </c>
      <c r="AK33" s="79">
        <f>IF('User Dashboard'!$C$10="TRC",AK19,MAX(IF('User Dashboard'!$C$11="Base",AK27,AK28),AK19))</f>
        <v>833.3893959025354</v>
      </c>
      <c r="AL33" s="79">
        <f>IF('User Dashboard'!$C$10="TRC",AL19,MAX(IF('User Dashboard'!$C$11="Base",AL27,AL28),AL19))</f>
        <v>850.05718382058615</v>
      </c>
      <c r="AM33" s="79">
        <f>IF('User Dashboard'!$C$10="TRC",AM19,MAX(IF('User Dashboard'!$C$11="Base",AM27,AM28),AM19))</f>
        <v>867.05832749699789</v>
      </c>
    </row>
    <row r="34" spans="2:39">
      <c r="B34" s="89"/>
      <c r="D34" s="34"/>
      <c r="E34" s="34"/>
      <c r="F34" s="34"/>
      <c r="G34" s="34"/>
      <c r="H34" s="34"/>
      <c r="I34" s="34"/>
      <c r="J34" s="34"/>
      <c r="K34" s="34"/>
      <c r="L34" s="34"/>
      <c r="M34" s="34"/>
      <c r="N34" s="34"/>
      <c r="O34" s="34"/>
      <c r="P34" s="34"/>
      <c r="Q34" s="34"/>
      <c r="R34" s="34"/>
      <c r="S34" s="34"/>
      <c r="T34" s="34"/>
      <c r="U34" s="34"/>
      <c r="V34" s="34"/>
    </row>
    <row r="35" spans="2:39">
      <c r="C35" s="33"/>
      <c r="D35" s="33"/>
      <c r="E35" s="33"/>
      <c r="F35" s="33"/>
      <c r="G35" s="33"/>
      <c r="H35" s="33"/>
      <c r="I35" s="33"/>
      <c r="J35" s="33"/>
      <c r="K35" s="33"/>
      <c r="L35" s="33"/>
      <c r="M35" s="33"/>
      <c r="N35" s="33"/>
      <c r="O35" s="33"/>
      <c r="P35" s="33"/>
      <c r="Q35" s="33"/>
      <c r="R35" s="33"/>
      <c r="S35" s="33"/>
      <c r="T35" s="33"/>
      <c r="U35" s="33"/>
      <c r="V35" s="33"/>
    </row>
    <row r="36" spans="2:39" ht="16" thickBot="1">
      <c r="B36" s="246" t="s">
        <v>120</v>
      </c>
      <c r="C36" s="247"/>
      <c r="D36" s="247"/>
      <c r="E36" s="247"/>
      <c r="F36" s="247"/>
      <c r="G36" s="247"/>
      <c r="H36" s="247"/>
      <c r="I36" s="247"/>
      <c r="J36" s="247"/>
      <c r="K36" s="247"/>
      <c r="L36" s="247"/>
      <c r="M36" s="247"/>
      <c r="N36" s="33"/>
      <c r="O36" s="33"/>
      <c r="P36" s="33"/>
      <c r="Q36" s="33"/>
      <c r="R36" s="33"/>
      <c r="S36" s="33"/>
      <c r="T36" s="33"/>
      <c r="U36" s="33"/>
      <c r="V36" s="33"/>
    </row>
    <row r="37" spans="2:39">
      <c r="C37" s="33"/>
      <c r="D37" s="33"/>
      <c r="E37" s="33"/>
      <c r="F37" s="33"/>
      <c r="G37" s="33"/>
      <c r="H37" s="33"/>
      <c r="I37" s="33"/>
      <c r="J37" s="33"/>
      <c r="K37" s="33"/>
      <c r="L37" s="33"/>
      <c r="M37" s="33"/>
      <c r="N37" s="33"/>
      <c r="O37" s="33"/>
      <c r="P37" s="33"/>
      <c r="Q37" s="33"/>
      <c r="R37" s="33"/>
      <c r="S37" s="33"/>
      <c r="T37" s="33"/>
      <c r="U37" s="33"/>
      <c r="V37" s="33"/>
    </row>
  </sheetData>
  <phoneticPr fontId="6"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5"/>
  </sheetPr>
  <dimension ref="A2:AR68"/>
  <sheetViews>
    <sheetView workbookViewId="0">
      <selection activeCell="P23" sqref="P23"/>
    </sheetView>
  </sheetViews>
  <sheetFormatPr baseColWidth="10" defaultColWidth="9.3984375" defaultRowHeight="15"/>
  <cols>
    <col min="1" max="1" width="8.59765625" style="112" customWidth="1"/>
    <col min="2" max="2" width="19" style="112" customWidth="1"/>
    <col min="3" max="3" width="17.3984375" style="112" customWidth="1"/>
    <col min="4" max="4" width="12.3984375" style="112" customWidth="1"/>
    <col min="5" max="5" width="10.3984375" style="112" customWidth="1"/>
    <col min="6" max="6" width="11.3984375" style="112" customWidth="1"/>
    <col min="7" max="7" width="12.3984375" style="112" customWidth="1"/>
    <col min="8" max="8" width="10.3984375" style="112" customWidth="1"/>
    <col min="9" max="9" width="11.3984375" style="112" customWidth="1"/>
    <col min="10" max="10" width="12.3984375" style="112" customWidth="1"/>
    <col min="11" max="11" width="10.3984375" style="112" customWidth="1"/>
    <col min="12" max="13" width="9.3984375" style="112"/>
    <col min="14" max="14" width="11.59765625" style="112" bestFit="1" customWidth="1"/>
    <col min="15" max="15" width="12.59765625" style="112" bestFit="1" customWidth="1"/>
    <col min="16" max="16" width="11" style="112" bestFit="1" customWidth="1"/>
    <col min="17" max="18" width="9.59765625" style="112" bestFit="1" customWidth="1"/>
    <col min="19" max="19" width="12.59765625" style="112" bestFit="1" customWidth="1"/>
    <col min="20" max="22" width="9.59765625" style="112" bestFit="1" customWidth="1"/>
    <col min="23" max="16384" width="9.3984375" style="112"/>
  </cols>
  <sheetData>
    <row r="2" spans="1:44">
      <c r="A2" s="234"/>
      <c r="B2" s="234" t="s">
        <v>121</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row>
    <row r="3" spans="1:44">
      <c r="B3" s="111" t="s">
        <v>122</v>
      </c>
    </row>
    <row r="4" spans="1:44" ht="16" thickBot="1">
      <c r="C4" s="234" t="s">
        <v>123</v>
      </c>
      <c r="D4" s="234">
        <v>2024</v>
      </c>
      <c r="E4" s="234">
        <f>D4+1</f>
        <v>2025</v>
      </c>
      <c r="F4" s="234">
        <f t="shared" ref="F4:AI4" si="0">E4+1</f>
        <v>2026</v>
      </c>
      <c r="G4" s="234">
        <f t="shared" si="0"/>
        <v>2027</v>
      </c>
      <c r="H4" s="234">
        <f t="shared" si="0"/>
        <v>2028</v>
      </c>
      <c r="I4" s="234">
        <f t="shared" si="0"/>
        <v>2029</v>
      </c>
      <c r="J4" s="234">
        <f t="shared" si="0"/>
        <v>2030</v>
      </c>
      <c r="K4" s="234">
        <f t="shared" si="0"/>
        <v>2031</v>
      </c>
      <c r="L4" s="234">
        <f t="shared" si="0"/>
        <v>2032</v>
      </c>
      <c r="M4" s="234">
        <f t="shared" si="0"/>
        <v>2033</v>
      </c>
      <c r="N4" s="234">
        <f t="shared" si="0"/>
        <v>2034</v>
      </c>
      <c r="O4" s="234">
        <f t="shared" si="0"/>
        <v>2035</v>
      </c>
      <c r="P4" s="234">
        <f t="shared" si="0"/>
        <v>2036</v>
      </c>
      <c r="Q4" s="234">
        <f t="shared" si="0"/>
        <v>2037</v>
      </c>
      <c r="R4" s="234">
        <f t="shared" si="0"/>
        <v>2038</v>
      </c>
      <c r="S4" s="234">
        <f t="shared" si="0"/>
        <v>2039</v>
      </c>
      <c r="T4" s="234">
        <f t="shared" si="0"/>
        <v>2040</v>
      </c>
      <c r="U4" s="234">
        <f t="shared" si="0"/>
        <v>2041</v>
      </c>
      <c r="V4" s="234">
        <f t="shared" si="0"/>
        <v>2042</v>
      </c>
      <c r="W4" s="234">
        <f t="shared" si="0"/>
        <v>2043</v>
      </c>
      <c r="X4" s="234">
        <f t="shared" si="0"/>
        <v>2044</v>
      </c>
      <c r="Y4" s="234">
        <f t="shared" si="0"/>
        <v>2045</v>
      </c>
      <c r="Z4" s="234">
        <f t="shared" si="0"/>
        <v>2046</v>
      </c>
      <c r="AA4" s="234">
        <f t="shared" si="0"/>
        <v>2047</v>
      </c>
      <c r="AB4" s="234">
        <f t="shared" si="0"/>
        <v>2048</v>
      </c>
      <c r="AC4" s="234">
        <f t="shared" si="0"/>
        <v>2049</v>
      </c>
      <c r="AD4" s="234">
        <f t="shared" si="0"/>
        <v>2050</v>
      </c>
      <c r="AE4" s="234">
        <f t="shared" si="0"/>
        <v>2051</v>
      </c>
      <c r="AF4" s="234">
        <f t="shared" si="0"/>
        <v>2052</v>
      </c>
      <c r="AG4" s="234">
        <f t="shared" si="0"/>
        <v>2053</v>
      </c>
      <c r="AH4" s="234">
        <f t="shared" si="0"/>
        <v>2054</v>
      </c>
      <c r="AI4" s="234">
        <f t="shared" si="0"/>
        <v>2055</v>
      </c>
      <c r="AK4" s="113" t="s">
        <v>100</v>
      </c>
    </row>
    <row r="5" spans="1:44">
      <c r="B5" s="270" t="s">
        <v>124</v>
      </c>
      <c r="C5" s="114" t="s">
        <v>20</v>
      </c>
      <c r="D5" s="207">
        <v>0.49051955313461343</v>
      </c>
      <c r="E5" s="207">
        <v>0.5751886364690596</v>
      </c>
      <c r="F5" s="207">
        <v>0.56974563576309967</v>
      </c>
      <c r="G5" s="200">
        <f>AVERAGE($D16:$F16)*(1+'User Dashboard'!$C$19)^('T&amp;D'!G$4-$F$4)</f>
        <v>0.56670335993454934</v>
      </c>
      <c r="H5" s="200">
        <f>AVERAGE($D16:$F16)*(1+'User Dashboard'!$C$19)^('T&amp;D'!H$4-$F$4)</f>
        <v>0.57803742713324024</v>
      </c>
      <c r="I5" s="200">
        <f>AVERAGE($D16:$F16)*(1+'User Dashboard'!$C$19)^('T&amp;D'!I$4-$F$4)</f>
        <v>0.58959817567590511</v>
      </c>
      <c r="J5" s="200">
        <f>AVERAGE($D16:$F16)*(1+'User Dashboard'!$C$19)^('T&amp;D'!J$4-$F$4)</f>
        <v>0.60139013918942319</v>
      </c>
      <c r="K5" s="200">
        <f>AVERAGE($D16:$F16)*(1+'User Dashboard'!$C$19)^('T&amp;D'!K$4-$F$4)</f>
        <v>0.61341794197321164</v>
      </c>
      <c r="L5" s="200">
        <f>AVERAGE($D16:$F16)*(1+'User Dashboard'!$C$19)^('T&amp;D'!L$4-$F$4)</f>
        <v>0.62568630081267596</v>
      </c>
      <c r="M5" s="200">
        <f>AVERAGE($D16:$F16)*(1+'User Dashboard'!$C$19)^('T&amp;D'!M$4-$F$4)</f>
        <v>0.63820002682892929</v>
      </c>
      <c r="N5" s="200">
        <f>AVERAGE($D16:$F16)*(1+'User Dashboard'!$C$19)^('T&amp;D'!N$4-$F$4)</f>
        <v>0.65096402736550796</v>
      </c>
      <c r="O5" s="200">
        <f>AVERAGE($D16:$F16)*(1+'User Dashboard'!$C$19)^('T&amp;D'!O$4-$F$4)</f>
        <v>0.66398330791281812</v>
      </c>
      <c r="P5" s="200">
        <f>AVERAGE($D16:$F16)*(1+'User Dashboard'!$C$19)^('T&amp;D'!P$4-$F$4)</f>
        <v>0.6772629740710745</v>
      </c>
      <c r="Q5" s="200">
        <f>AVERAGE($D16:$F16)*(1+'User Dashboard'!$C$19)^('T&amp;D'!Q$4-$F$4)</f>
        <v>0.69080823355249588</v>
      </c>
      <c r="R5" s="200">
        <f>AVERAGE($D16:$F16)*(1+'User Dashboard'!$C$19)^('T&amp;D'!R$4-$F$4)</f>
        <v>0.70462439822354594</v>
      </c>
      <c r="S5" s="200">
        <f>AVERAGE($D16:$F16)*(1+'User Dashboard'!$C$19)^('T&amp;D'!S$4-$F$4)</f>
        <v>0.71871688618801677</v>
      </c>
      <c r="T5" s="200">
        <f>AVERAGE($D16:$F16)*(1+'User Dashboard'!$C$19)^('T&amp;D'!T$4-$F$4)</f>
        <v>0.73309122391177717</v>
      </c>
      <c r="U5" s="200">
        <f>AVERAGE($D16:$F16)*(1+'User Dashboard'!$C$19)^('T&amp;D'!U$4-$F$4)</f>
        <v>0.74775304839001255</v>
      </c>
      <c r="V5" s="200">
        <f>AVERAGE($D16:$F16)*(1+'User Dashboard'!$C$19)^('T&amp;D'!V$4-$F$4)</f>
        <v>0.76270810935781297</v>
      </c>
      <c r="W5" s="200">
        <f>AVERAGE($D16:$F16)*(1+'User Dashboard'!$C$19)^('T&amp;D'!W$4-$F$4)</f>
        <v>0.77796227154496922</v>
      </c>
      <c r="X5" s="200">
        <f>AVERAGE($D16:$F16)*(1+'User Dashboard'!$C$19)^('T&amp;D'!X$4-$F$4)</f>
        <v>0.79352151697586859</v>
      </c>
      <c r="Y5" s="200">
        <f>AVERAGE($D16:$F16)*(1+'User Dashboard'!$C$19)^('T&amp;D'!Y$4-$F$4)</f>
        <v>0.80939194731538588</v>
      </c>
      <c r="Z5" s="200">
        <f>AVERAGE($D16:$F16)*(1+'User Dashboard'!$C$19)^('T&amp;D'!Z$4-$F$4)</f>
        <v>0.8255797862616937</v>
      </c>
      <c r="AA5" s="200">
        <f>AVERAGE($D16:$F16)*(1+'User Dashboard'!$C$19)^('T&amp;D'!AA$4-$F$4)</f>
        <v>0.84209138198692746</v>
      </c>
      <c r="AB5" s="200">
        <f>AVERAGE($D16:$F16)*(1+'User Dashboard'!$C$19)^('T&amp;D'!AB$4-$F$4)</f>
        <v>0.85893320962666608</v>
      </c>
      <c r="AC5" s="200">
        <f>AVERAGE($D16:$F16)*(1+'User Dashboard'!$C$19)^('T&amp;D'!AC$4-$F$4)</f>
        <v>0.8761118738191993</v>
      </c>
      <c r="AD5" s="200">
        <f>AVERAGE($D16:$F16)*(1+'User Dashboard'!$C$19)^('T&amp;D'!AD$4-$F$4)</f>
        <v>0.89363411129558323</v>
      </c>
      <c r="AE5" s="200">
        <f>AVERAGE($D16:$F16)*(1+'User Dashboard'!$C$19)^('T&amp;D'!AE$4-$F$4)</f>
        <v>0.911506793521495</v>
      </c>
      <c r="AF5" s="200">
        <f>AVERAGE($D16:$F16)*(1+'User Dashboard'!$C$19)^('T&amp;D'!AF$4-$F$4)</f>
        <v>0.92973692939192498</v>
      </c>
      <c r="AG5" s="200">
        <f>AVERAGE($D16:$F16)*(1+'User Dashboard'!$C$19)^('T&amp;D'!AG$4-$F$4)</f>
        <v>0.94833166797976332</v>
      </c>
      <c r="AH5" s="200">
        <f>AVERAGE($D16:$F16)*(1+'User Dashboard'!$C$19)^('T&amp;D'!AH$4-$F$4)</f>
        <v>0.96729830133935879</v>
      </c>
      <c r="AI5" s="200">
        <f>AVERAGE($D16:$F16)*(1+'User Dashboard'!$C$19)^('T&amp;D'!AI$4-$F$4)</f>
        <v>0.98664426736614574</v>
      </c>
      <c r="AK5" s="113" t="str">
        <f>_xlfn.CONCAT($B$5,"-",C5)</f>
        <v>PG&amp;E-Residential</v>
      </c>
    </row>
    <row r="6" spans="1:44">
      <c r="B6" s="271"/>
      <c r="C6" s="115" t="s">
        <v>125</v>
      </c>
      <c r="D6" s="207">
        <v>0.277797453967638</v>
      </c>
      <c r="E6" s="207">
        <v>0.32070737246036923</v>
      </c>
      <c r="F6" s="207">
        <v>0.31767402416518392</v>
      </c>
      <c r="G6" s="200">
        <f>AVERAGE($D17:$F17)*(1+'User Dashboard'!$C$19)^('T&amp;D'!G$4-$F$4)</f>
        <v>0.31749744516211498</v>
      </c>
      <c r="H6" s="200">
        <f>AVERAGE($D17:$F17)*(1+'User Dashboard'!$C$19)^('T&amp;D'!H$4-$F$4)</f>
        <v>0.32384739406535729</v>
      </c>
      <c r="I6" s="200">
        <f>AVERAGE($D17:$F17)*(1+'User Dashboard'!$C$19)^('T&amp;D'!I$4-$F$4)</f>
        <v>0.33032434194666438</v>
      </c>
      <c r="J6" s="200">
        <f>AVERAGE($D17:$F17)*(1+'User Dashboard'!$C$19)^('T&amp;D'!J$4-$F$4)</f>
        <v>0.33693082878559771</v>
      </c>
      <c r="K6" s="200">
        <f>AVERAGE($D17:$F17)*(1+'User Dashboard'!$C$19)^('T&amp;D'!K$4-$F$4)</f>
        <v>0.34366944536130967</v>
      </c>
      <c r="L6" s="200">
        <f>AVERAGE($D17:$F17)*(1+'User Dashboard'!$C$19)^('T&amp;D'!L$4-$F$4)</f>
        <v>0.35054283426853589</v>
      </c>
      <c r="M6" s="200">
        <f>AVERAGE($D17:$F17)*(1+'User Dashboard'!$C$19)^('T&amp;D'!M$4-$F$4)</f>
        <v>0.35755369095390649</v>
      </c>
      <c r="N6" s="200">
        <f>AVERAGE($D17:$F17)*(1+'User Dashboard'!$C$19)^('T&amp;D'!N$4-$F$4)</f>
        <v>0.36470476477298469</v>
      </c>
      <c r="O6" s="200">
        <f>AVERAGE($D17:$F17)*(1+'User Dashboard'!$C$19)^('T&amp;D'!O$4-$F$4)</f>
        <v>0.37199886006844435</v>
      </c>
      <c r="P6" s="200">
        <f>AVERAGE($D17:$F17)*(1+'User Dashboard'!$C$19)^('T&amp;D'!P$4-$F$4)</f>
        <v>0.37943883726981326</v>
      </c>
      <c r="Q6" s="200">
        <f>AVERAGE($D17:$F17)*(1+'User Dashboard'!$C$19)^('T&amp;D'!Q$4-$F$4)</f>
        <v>0.38702761401520946</v>
      </c>
      <c r="R6" s="200">
        <f>AVERAGE($D17:$F17)*(1+'User Dashboard'!$C$19)^('T&amp;D'!R$4-$F$4)</f>
        <v>0.3947681662955137</v>
      </c>
      <c r="S6" s="200">
        <f>AVERAGE($D17:$F17)*(1+'User Dashboard'!$C$19)^('T&amp;D'!S$4-$F$4)</f>
        <v>0.40266352962142399</v>
      </c>
      <c r="T6" s="200">
        <f>AVERAGE($D17:$F17)*(1+'User Dashboard'!$C$19)^('T&amp;D'!T$4-$F$4)</f>
        <v>0.41071680021385248</v>
      </c>
      <c r="U6" s="200">
        <f>AVERAGE($D17:$F17)*(1+'User Dashboard'!$C$19)^('T&amp;D'!U$4-$F$4)</f>
        <v>0.41893113621812944</v>
      </c>
      <c r="V6" s="200">
        <f>AVERAGE($D17:$F17)*(1+'User Dashboard'!$C$19)^('T&amp;D'!V$4-$F$4)</f>
        <v>0.42730975894249207</v>
      </c>
      <c r="W6" s="200">
        <f>AVERAGE($D17:$F17)*(1+'User Dashboard'!$C$19)^('T&amp;D'!W$4-$F$4)</f>
        <v>0.43585595412134198</v>
      </c>
      <c r="X6" s="200">
        <f>AVERAGE($D17:$F17)*(1+'User Dashboard'!$C$19)^('T&amp;D'!X$4-$F$4)</f>
        <v>0.44457307320376876</v>
      </c>
      <c r="Y6" s="200">
        <f>AVERAGE($D17:$F17)*(1+'User Dashboard'!$C$19)^('T&amp;D'!Y$4-$F$4)</f>
        <v>0.45346453466784409</v>
      </c>
      <c r="Z6" s="200">
        <f>AVERAGE($D17:$F17)*(1+'User Dashboard'!$C$19)^('T&amp;D'!Z$4-$F$4)</f>
        <v>0.46253382536120102</v>
      </c>
      <c r="AA6" s="200">
        <f>AVERAGE($D17:$F17)*(1+'User Dashboard'!$C$19)^('T&amp;D'!AA$4-$F$4)</f>
        <v>0.47178450186842502</v>
      </c>
      <c r="AB6" s="200">
        <f>AVERAGE($D17:$F17)*(1+'User Dashboard'!$C$19)^('T&amp;D'!AB$4-$F$4)</f>
        <v>0.48122019190579357</v>
      </c>
      <c r="AC6" s="200">
        <f>AVERAGE($D17:$F17)*(1+'User Dashboard'!$C$19)^('T&amp;D'!AC$4-$F$4)</f>
        <v>0.49084459574390932</v>
      </c>
      <c r="AD6" s="200">
        <f>AVERAGE($D17:$F17)*(1+'User Dashboard'!$C$19)^('T&amp;D'!AD$4-$F$4)</f>
        <v>0.5006614876587876</v>
      </c>
      <c r="AE6" s="200">
        <f>AVERAGE($D17:$F17)*(1+'User Dashboard'!$C$19)^('T&amp;D'!AE$4-$F$4)</f>
        <v>0.51067471741196324</v>
      </c>
      <c r="AF6" s="200">
        <f>AVERAGE($D17:$F17)*(1+'User Dashboard'!$C$19)^('T&amp;D'!AF$4-$F$4)</f>
        <v>0.52088821176020261</v>
      </c>
      <c r="AG6" s="200">
        <f>AVERAGE($D17:$F17)*(1+'User Dashboard'!$C$19)^('T&amp;D'!AG$4-$F$4)</f>
        <v>0.53130597599540652</v>
      </c>
      <c r="AH6" s="200">
        <f>AVERAGE($D17:$F17)*(1+'User Dashboard'!$C$19)^('T&amp;D'!AH$4-$F$4)</f>
        <v>0.54193209551531485</v>
      </c>
      <c r="AI6" s="200">
        <f>AVERAGE($D17:$F17)*(1+'User Dashboard'!$C$19)^('T&amp;D'!AI$4-$F$4)</f>
        <v>0.55277073742562099</v>
      </c>
      <c r="AK6" s="113" t="str">
        <f t="shared" ref="AK6:AK7" si="1">_xlfn.CONCAT($B$5,"-",C6)</f>
        <v>PG&amp;E-Commercial</v>
      </c>
    </row>
    <row r="7" spans="1:44" ht="16" thickBot="1">
      <c r="B7" s="272"/>
      <c r="C7" s="116" t="s">
        <v>126</v>
      </c>
      <c r="D7" s="207">
        <v>0.42113649915936807</v>
      </c>
      <c r="E7" s="207">
        <v>0.48982562784629829</v>
      </c>
      <c r="F7" s="207">
        <v>0.48519042782318927</v>
      </c>
      <c r="G7" s="200">
        <f>AVERAGE($D18:$F18)*(1+'User Dashboard'!$C$19)^('T&amp;D'!G$4-$F$4)</f>
        <v>0.48380741386361886</v>
      </c>
      <c r="H7" s="200">
        <f>AVERAGE($D18:$F18)*(1+'User Dashboard'!$C$19)^('T&amp;D'!H$4-$F$4)</f>
        <v>0.49348356214089123</v>
      </c>
      <c r="I7" s="200">
        <f>AVERAGE($D18:$F18)*(1+'User Dashboard'!$C$19)^('T&amp;D'!I$4-$F$4)</f>
        <v>0.50335323338370908</v>
      </c>
      <c r="J7" s="200">
        <f>AVERAGE($D18:$F18)*(1+'User Dashboard'!$C$19)^('T&amp;D'!J$4-$F$4)</f>
        <v>0.51342029805138323</v>
      </c>
      <c r="K7" s="200">
        <f>AVERAGE($D18:$F18)*(1+'User Dashboard'!$C$19)^('T&amp;D'!K$4-$F$4)</f>
        <v>0.52368870401241097</v>
      </c>
      <c r="L7" s="200">
        <f>AVERAGE($D18:$F18)*(1+'User Dashboard'!$C$19)^('T&amp;D'!L$4-$F$4)</f>
        <v>0.53416247809265915</v>
      </c>
      <c r="M7" s="200">
        <f>AVERAGE($D18:$F18)*(1+'User Dashboard'!$C$19)^('T&amp;D'!M$4-$F$4)</f>
        <v>0.54484572765451222</v>
      </c>
      <c r="N7" s="200">
        <f>AVERAGE($D18:$F18)*(1+'User Dashboard'!$C$19)^('T&amp;D'!N$4-$F$4)</f>
        <v>0.5557426422076025</v>
      </c>
      <c r="O7" s="200">
        <f>AVERAGE($D18:$F18)*(1+'User Dashboard'!$C$19)^('T&amp;D'!O$4-$F$4)</f>
        <v>0.56685749505175453</v>
      </c>
      <c r="P7" s="200">
        <f>AVERAGE($D18:$F18)*(1+'User Dashboard'!$C$19)^('T&amp;D'!P$4-$F$4)</f>
        <v>0.57819464495278972</v>
      </c>
      <c r="Q7" s="200">
        <f>AVERAGE($D18:$F18)*(1+'User Dashboard'!$C$19)^('T&amp;D'!Q$4-$F$4)</f>
        <v>0.5897585378518454</v>
      </c>
      <c r="R7" s="200">
        <f>AVERAGE($D18:$F18)*(1+'User Dashboard'!$C$19)^('T&amp;D'!R$4-$F$4)</f>
        <v>0.60155370860888235</v>
      </c>
      <c r="S7" s="200">
        <f>AVERAGE($D18:$F18)*(1+'User Dashboard'!$C$19)^('T&amp;D'!S$4-$F$4)</f>
        <v>0.61358478278105999</v>
      </c>
      <c r="T7" s="200">
        <f>AVERAGE($D18:$F18)*(1+'User Dashboard'!$C$19)^('T&amp;D'!T$4-$F$4)</f>
        <v>0.62585647843668124</v>
      </c>
      <c r="U7" s="200">
        <f>AVERAGE($D18:$F18)*(1+'User Dashboard'!$C$19)^('T&amp;D'!U$4-$F$4)</f>
        <v>0.63837360800541476</v>
      </c>
      <c r="V7" s="200">
        <f>AVERAGE($D18:$F18)*(1+'User Dashboard'!$C$19)^('T&amp;D'!V$4-$F$4)</f>
        <v>0.65114108016552308</v>
      </c>
      <c r="W7" s="200">
        <f>AVERAGE($D18:$F18)*(1+'User Dashboard'!$C$19)^('T&amp;D'!W$4-$F$4)</f>
        <v>0.66416390176883366</v>
      </c>
      <c r="X7" s="200">
        <f>AVERAGE($D18:$F18)*(1+'User Dashboard'!$C$19)^('T&amp;D'!X$4-$F$4)</f>
        <v>0.67744717980421021</v>
      </c>
      <c r="Y7" s="200">
        <f>AVERAGE($D18:$F18)*(1+'User Dashboard'!$C$19)^('T&amp;D'!Y$4-$F$4)</f>
        <v>0.69099612340029437</v>
      </c>
      <c r="Z7" s="200">
        <f>AVERAGE($D18:$F18)*(1+'User Dashboard'!$C$19)^('T&amp;D'!Z$4-$F$4)</f>
        <v>0.70481604586830038</v>
      </c>
      <c r="AA7" s="200">
        <f>AVERAGE($D18:$F18)*(1+'User Dashboard'!$C$19)^('T&amp;D'!AA$4-$F$4)</f>
        <v>0.71891236678566628</v>
      </c>
      <c r="AB7" s="200">
        <f>AVERAGE($D18:$F18)*(1+'User Dashboard'!$C$19)^('T&amp;D'!AB$4-$F$4)</f>
        <v>0.73329061412137964</v>
      </c>
      <c r="AC7" s="200">
        <f>AVERAGE($D18:$F18)*(1+'User Dashboard'!$C$19)^('T&amp;D'!AC$4-$F$4)</f>
        <v>0.74795642640380711</v>
      </c>
      <c r="AD7" s="200">
        <f>AVERAGE($D18:$F18)*(1+'User Dashboard'!$C$19)^('T&amp;D'!AD$4-$F$4)</f>
        <v>0.76291555493188334</v>
      </c>
      <c r="AE7" s="200">
        <f>AVERAGE($D18:$F18)*(1+'User Dashboard'!$C$19)^('T&amp;D'!AE$4-$F$4)</f>
        <v>0.77817386603052097</v>
      </c>
      <c r="AF7" s="200">
        <f>AVERAGE($D18:$F18)*(1+'User Dashboard'!$C$19)^('T&amp;D'!AF$4-$F$4)</f>
        <v>0.79373734335113155</v>
      </c>
      <c r="AG7" s="200">
        <f>AVERAGE($D18:$F18)*(1+'User Dashboard'!$C$19)^('T&amp;D'!AG$4-$F$4)</f>
        <v>0.80961209021815395</v>
      </c>
      <c r="AH7" s="200">
        <f>AVERAGE($D18:$F18)*(1+'User Dashboard'!$C$19)^('T&amp;D'!AH$4-$F$4)</f>
        <v>0.82580433202251724</v>
      </c>
      <c r="AI7" s="200">
        <f>AVERAGE($D18:$F18)*(1+'User Dashboard'!$C$19)^('T&amp;D'!AI$4-$F$4)</f>
        <v>0.84232041866296747</v>
      </c>
      <c r="AK7" s="113" t="str">
        <f t="shared" si="1"/>
        <v>PG&amp;E-Total Core</v>
      </c>
    </row>
    <row r="8" spans="1:44">
      <c r="B8" s="270" t="s">
        <v>18</v>
      </c>
      <c r="C8" s="114" t="s">
        <v>20</v>
      </c>
      <c r="D8" s="207">
        <v>0.22</v>
      </c>
      <c r="E8" s="207">
        <v>0.22</v>
      </c>
      <c r="F8" s="207">
        <v>0.36</v>
      </c>
      <c r="G8" s="200">
        <f>AVERAGE($D19:$F19)*(1+'User Dashboard'!$C$19)^('T&amp;D'!G$4-$F$4)</f>
        <v>0.27651792000000003</v>
      </c>
      <c r="H8" s="200">
        <f>AVERAGE($D19:$F19)*(1+'User Dashboard'!$C$19)^('T&amp;D'!H$4-$F$4)</f>
        <v>0.28204827840000002</v>
      </c>
      <c r="I8" s="200">
        <f>AVERAGE($D19:$F19)*(1+'User Dashboard'!$C$19)^('T&amp;D'!I$4-$F$4)</f>
        <v>0.287689243968</v>
      </c>
      <c r="J8" s="200">
        <f>AVERAGE($D19:$F19)*(1+'User Dashboard'!$C$19)^('T&amp;D'!J$4-$F$4)</f>
        <v>0.29344302884736001</v>
      </c>
      <c r="K8" s="200">
        <f>AVERAGE($D19:$F19)*(1+'User Dashboard'!$C$19)^('T&amp;D'!K$4-$F$4)</f>
        <v>0.2993118894243072</v>
      </c>
      <c r="L8" s="200">
        <f>AVERAGE($D19:$F19)*(1+'User Dashboard'!$C$19)^('T&amp;D'!L$4-$F$4)</f>
        <v>0.30529812721279337</v>
      </c>
      <c r="M8" s="200">
        <f>AVERAGE($D19:$F19)*(1+'User Dashboard'!$C$19)^('T&amp;D'!M$4-$F$4)</f>
        <v>0.31140408975704914</v>
      </c>
      <c r="N8" s="200">
        <f>AVERAGE($D19:$F19)*(1+'User Dashboard'!$C$19)^('T&amp;D'!N$4-$F$4)</f>
        <v>0.3176321715521902</v>
      </c>
      <c r="O8" s="200">
        <f>AVERAGE($D19:$F19)*(1+'User Dashboard'!$C$19)^('T&amp;D'!O$4-$F$4)</f>
        <v>0.323984814983234</v>
      </c>
      <c r="P8" s="200">
        <f>AVERAGE($D19:$F19)*(1+'User Dashboard'!$C$19)^('T&amp;D'!P$4-$F$4)</f>
        <v>0.33046451128289867</v>
      </c>
      <c r="Q8" s="200">
        <f>AVERAGE($D19:$F19)*(1+'User Dashboard'!$C$19)^('T&amp;D'!Q$4-$F$4)</f>
        <v>0.33707380150855659</v>
      </c>
      <c r="R8" s="200">
        <f>AVERAGE($D19:$F19)*(1+'User Dashboard'!$C$19)^('T&amp;D'!R$4-$F$4)</f>
        <v>0.34381527753872776</v>
      </c>
      <c r="S8" s="200">
        <f>AVERAGE($D19:$F19)*(1+'User Dashboard'!$C$19)^('T&amp;D'!S$4-$F$4)</f>
        <v>0.35069158308950232</v>
      </c>
      <c r="T8" s="200">
        <f>AVERAGE($D19:$F19)*(1+'User Dashboard'!$C$19)^('T&amp;D'!T$4-$F$4)</f>
        <v>0.35770541475129242</v>
      </c>
      <c r="U8" s="200">
        <f>AVERAGE($D19:$F19)*(1+'User Dashboard'!$C$19)^('T&amp;D'!U$4-$F$4)</f>
        <v>0.36485952304631813</v>
      </c>
      <c r="V8" s="200">
        <f>AVERAGE($D19:$F19)*(1+'User Dashboard'!$C$19)^('T&amp;D'!V$4-$F$4)</f>
        <v>0.37215671350724455</v>
      </c>
      <c r="W8" s="200">
        <f>AVERAGE($D19:$F19)*(1+'User Dashboard'!$C$19)^('T&amp;D'!W$4-$F$4)</f>
        <v>0.37959984777738948</v>
      </c>
      <c r="X8" s="200">
        <f>AVERAGE($D19:$F19)*(1+'User Dashboard'!$C$19)^('T&amp;D'!X$4-$F$4)</f>
        <v>0.38719184473293722</v>
      </c>
      <c r="Y8" s="200">
        <f>AVERAGE($D19:$F19)*(1+'User Dashboard'!$C$19)^('T&amp;D'!Y$4-$F$4)</f>
        <v>0.39493568162759596</v>
      </c>
      <c r="Z8" s="200">
        <f>AVERAGE($D19:$F19)*(1+'User Dashboard'!$C$19)^('T&amp;D'!Z$4-$F$4)</f>
        <v>0.40283439526014791</v>
      </c>
      <c r="AA8" s="200">
        <f>AVERAGE($D19:$F19)*(1+'User Dashboard'!$C$19)^('T&amp;D'!AA$4-$F$4)</f>
        <v>0.41089108316535083</v>
      </c>
      <c r="AB8" s="200">
        <f>AVERAGE($D19:$F19)*(1+'User Dashboard'!$C$19)^('T&amp;D'!AB$4-$F$4)</f>
        <v>0.41910890482865787</v>
      </c>
      <c r="AC8" s="200">
        <f>AVERAGE($D19:$F19)*(1+'User Dashboard'!$C$19)^('T&amp;D'!AC$4-$F$4)</f>
        <v>0.42749108292523097</v>
      </c>
      <c r="AD8" s="200">
        <f>AVERAGE($D19:$F19)*(1+'User Dashboard'!$C$19)^('T&amp;D'!AD$4-$F$4)</f>
        <v>0.43604090458373562</v>
      </c>
      <c r="AE8" s="200">
        <f>AVERAGE($D19:$F19)*(1+'User Dashboard'!$C$19)^('T&amp;D'!AE$4-$F$4)</f>
        <v>0.44476172267541031</v>
      </c>
      <c r="AF8" s="200">
        <f>AVERAGE($D19:$F19)*(1+'User Dashboard'!$C$19)^('T&amp;D'!AF$4-$F$4)</f>
        <v>0.45365695712891857</v>
      </c>
      <c r="AG8" s="200">
        <f>AVERAGE($D19:$F19)*(1+'User Dashboard'!$C$19)^('T&amp;D'!AG$4-$F$4)</f>
        <v>0.46273009627149686</v>
      </c>
      <c r="AH8" s="200">
        <f>AVERAGE($D19:$F19)*(1+'User Dashboard'!$C$19)^('T&amp;D'!AH$4-$F$4)</f>
        <v>0.4719846981969269</v>
      </c>
      <c r="AI8" s="200">
        <f>AVERAGE($D19:$F19)*(1+'User Dashboard'!$C$19)^('T&amp;D'!AI$4-$F$4)</f>
        <v>0.48142439216086536</v>
      </c>
      <c r="AK8" s="113" t="str">
        <f>_xlfn.CONCAT($B$8,"-",C8)</f>
        <v>SoCalGas-Residential</v>
      </c>
    </row>
    <row r="9" spans="1:44">
      <c r="B9" s="271"/>
      <c r="C9" s="115" t="s">
        <v>125</v>
      </c>
      <c r="D9" s="207">
        <v>0.13</v>
      </c>
      <c r="E9" s="207">
        <v>0.13</v>
      </c>
      <c r="F9" s="207">
        <v>0.21</v>
      </c>
      <c r="G9" s="200">
        <f>AVERAGE($D20:$F20)*(1+'User Dashboard'!$C$19)^('T&amp;D'!G$4-$F$4)</f>
        <v>0.16246968000000001</v>
      </c>
      <c r="H9" s="200">
        <f>AVERAGE($D20:$F20)*(1+'User Dashboard'!$C$19)^('T&amp;D'!H$4-$F$4)</f>
        <v>0.16571907360000002</v>
      </c>
      <c r="I9" s="200">
        <f>AVERAGE($D20:$F20)*(1+'User Dashboard'!$C$19)^('T&amp;D'!I$4-$F$4)</f>
        <v>0.16903345507199999</v>
      </c>
      <c r="J9" s="200">
        <f>AVERAGE($D20:$F20)*(1+'User Dashboard'!$C$19)^('T&amp;D'!J$4-$F$4)</f>
        <v>0.17241412417344001</v>
      </c>
      <c r="K9" s="200">
        <f>AVERAGE($D20:$F20)*(1+'User Dashboard'!$C$19)^('T&amp;D'!K$4-$F$4)</f>
        <v>0.1758624066569088</v>
      </c>
      <c r="L9" s="200">
        <f>AVERAGE($D20:$F20)*(1+'User Dashboard'!$C$19)^('T&amp;D'!L$4-$F$4)</f>
        <v>0.179379654790047</v>
      </c>
      <c r="M9" s="200">
        <f>AVERAGE($D20:$F20)*(1+'User Dashboard'!$C$19)^('T&amp;D'!M$4-$F$4)</f>
        <v>0.18296724788584789</v>
      </c>
      <c r="N9" s="200">
        <f>AVERAGE($D20:$F20)*(1+'User Dashboard'!$C$19)^('T&amp;D'!N$4-$F$4)</f>
        <v>0.18662659284356486</v>
      </c>
      <c r="O9" s="200">
        <f>AVERAGE($D20:$F20)*(1+'User Dashboard'!$C$19)^('T&amp;D'!O$4-$F$4)</f>
        <v>0.19035912470043617</v>
      </c>
      <c r="P9" s="200">
        <f>AVERAGE($D20:$F20)*(1+'User Dashboard'!$C$19)^('T&amp;D'!P$4-$F$4)</f>
        <v>0.19416630719444491</v>
      </c>
      <c r="Q9" s="200">
        <f>AVERAGE($D20:$F20)*(1+'User Dashboard'!$C$19)^('T&amp;D'!Q$4-$F$4)</f>
        <v>0.19804963333833375</v>
      </c>
      <c r="R9" s="200">
        <f>AVERAGE($D20:$F20)*(1+'User Dashboard'!$C$19)^('T&amp;D'!R$4-$F$4)</f>
        <v>0.20201062600510047</v>
      </c>
      <c r="S9" s="200">
        <f>AVERAGE($D20:$F20)*(1+'User Dashboard'!$C$19)^('T&amp;D'!S$4-$F$4)</f>
        <v>0.20605083852520248</v>
      </c>
      <c r="T9" s="200">
        <f>AVERAGE($D20:$F20)*(1+'User Dashboard'!$C$19)^('T&amp;D'!T$4-$F$4)</f>
        <v>0.21017185529570653</v>
      </c>
      <c r="U9" s="200">
        <f>AVERAGE($D20:$F20)*(1+'User Dashboard'!$C$19)^('T&amp;D'!U$4-$F$4)</f>
        <v>0.21437529240162062</v>
      </c>
      <c r="V9" s="200">
        <f>AVERAGE($D20:$F20)*(1+'User Dashboard'!$C$19)^('T&amp;D'!V$4-$F$4)</f>
        <v>0.21866279824965307</v>
      </c>
      <c r="W9" s="200">
        <f>AVERAGE($D20:$F20)*(1+'User Dashboard'!$C$19)^('T&amp;D'!W$4-$F$4)</f>
        <v>0.22303605421464615</v>
      </c>
      <c r="X9" s="200">
        <f>AVERAGE($D20:$F20)*(1+'User Dashboard'!$C$19)^('T&amp;D'!X$4-$F$4)</f>
        <v>0.22749677529893902</v>
      </c>
      <c r="Y9" s="200">
        <f>AVERAGE($D20:$F20)*(1+'User Dashboard'!$C$19)^('T&amp;D'!Y$4-$F$4)</f>
        <v>0.23204671080491782</v>
      </c>
      <c r="Z9" s="200">
        <f>AVERAGE($D20:$F20)*(1+'User Dashboard'!$C$19)^('T&amp;D'!Z$4-$F$4)</f>
        <v>0.23668764502101619</v>
      </c>
      <c r="AA9" s="200">
        <f>AVERAGE($D20:$F20)*(1+'User Dashboard'!$C$19)^('T&amp;D'!AA$4-$F$4)</f>
        <v>0.24142139792143649</v>
      </c>
      <c r="AB9" s="200">
        <f>AVERAGE($D20:$F20)*(1+'User Dashboard'!$C$19)^('T&amp;D'!AB$4-$F$4)</f>
        <v>0.24624982587986524</v>
      </c>
      <c r="AC9" s="200">
        <f>AVERAGE($D20:$F20)*(1+'User Dashboard'!$C$19)^('T&amp;D'!AC$4-$F$4)</f>
        <v>0.25117482239746247</v>
      </c>
      <c r="AD9" s="200">
        <f>AVERAGE($D20:$F20)*(1+'User Dashboard'!$C$19)^('T&amp;D'!AD$4-$F$4)</f>
        <v>0.25619831884541178</v>
      </c>
      <c r="AE9" s="200">
        <f>AVERAGE($D20:$F20)*(1+'User Dashboard'!$C$19)^('T&amp;D'!AE$4-$F$4)</f>
        <v>0.26132228522231998</v>
      </c>
      <c r="AF9" s="200">
        <f>AVERAGE($D20:$F20)*(1+'User Dashboard'!$C$19)^('T&amp;D'!AF$4-$F$4)</f>
        <v>0.2665487309267664</v>
      </c>
      <c r="AG9" s="200">
        <f>AVERAGE($D20:$F20)*(1+'User Dashboard'!$C$19)^('T&amp;D'!AG$4-$F$4)</f>
        <v>0.27187970554530172</v>
      </c>
      <c r="AH9" s="200">
        <f>AVERAGE($D20:$F20)*(1+'User Dashboard'!$C$19)^('T&amp;D'!AH$4-$F$4)</f>
        <v>0.27731729965620777</v>
      </c>
      <c r="AI9" s="200">
        <f>AVERAGE($D20:$F20)*(1+'User Dashboard'!$C$19)^('T&amp;D'!AI$4-$F$4)</f>
        <v>0.28286364564933192</v>
      </c>
      <c r="AK9" s="113" t="str">
        <f t="shared" ref="AK9:AK10" si="2">_xlfn.CONCAT($B$8,"-",C9)</f>
        <v>SoCalGas-Commercial</v>
      </c>
    </row>
    <row r="10" spans="1:44" ht="16" thickBot="1">
      <c r="B10" s="272"/>
      <c r="C10" s="116" t="s">
        <v>126</v>
      </c>
      <c r="D10" s="207">
        <v>0.19</v>
      </c>
      <c r="E10" s="207">
        <v>0.19</v>
      </c>
      <c r="F10" s="207">
        <v>0.3</v>
      </c>
      <c r="G10" s="200">
        <f>AVERAGE($D21:$F21)*(1+'User Dashboard'!$C$19)^('T&amp;D'!G$4-$F$4)</f>
        <v>0.23510184000000001</v>
      </c>
      <c r="H10" s="200">
        <f>AVERAGE($D21:$F21)*(1+'User Dashboard'!$C$19)^('T&amp;D'!H$4-$F$4)</f>
        <v>0.23980387680000001</v>
      </c>
      <c r="I10" s="200">
        <f>AVERAGE($D21:$F21)*(1+'User Dashboard'!$C$19)^('T&amp;D'!I$4-$F$4)</f>
        <v>0.24459995433599999</v>
      </c>
      <c r="J10" s="200">
        <f>AVERAGE($D21:$F21)*(1+'User Dashboard'!$C$19)^('T&amp;D'!J$4-$F$4)</f>
        <v>0.24949195342271999</v>
      </c>
      <c r="K10" s="200">
        <f>AVERAGE($D21:$F21)*(1+'User Dashboard'!$C$19)^('T&amp;D'!K$4-$F$4)</f>
        <v>0.25448179249117442</v>
      </c>
      <c r="L10" s="200">
        <f>AVERAGE($D21:$F21)*(1+'User Dashboard'!$C$19)^('T&amp;D'!L$4-$F$4)</f>
        <v>0.25957142834099789</v>
      </c>
      <c r="M10" s="200">
        <f>AVERAGE($D21:$F21)*(1+'User Dashboard'!$C$19)^('T&amp;D'!M$4-$F$4)</f>
        <v>0.26476285690781781</v>
      </c>
      <c r="N10" s="200">
        <f>AVERAGE($D21:$F21)*(1+'User Dashboard'!$C$19)^('T&amp;D'!N$4-$F$4)</f>
        <v>0.27005811404597418</v>
      </c>
      <c r="O10" s="200">
        <f>AVERAGE($D21:$F21)*(1+'User Dashboard'!$C$19)^('T&amp;D'!O$4-$F$4)</f>
        <v>0.27545927632689365</v>
      </c>
      <c r="P10" s="200">
        <f>AVERAGE($D21:$F21)*(1+'User Dashboard'!$C$19)^('T&amp;D'!P$4-$F$4)</f>
        <v>0.28096846185343155</v>
      </c>
      <c r="Q10" s="200">
        <f>AVERAGE($D21:$F21)*(1+'User Dashboard'!$C$19)^('T&amp;D'!Q$4-$F$4)</f>
        <v>0.28658783109050012</v>
      </c>
      <c r="R10" s="200">
        <f>AVERAGE($D21:$F21)*(1+'User Dashboard'!$C$19)^('T&amp;D'!R$4-$F$4)</f>
        <v>0.2923195877123102</v>
      </c>
      <c r="S10" s="200">
        <f>AVERAGE($D21:$F21)*(1+'User Dashboard'!$C$19)^('T&amp;D'!S$4-$F$4)</f>
        <v>0.29816597946655637</v>
      </c>
      <c r="T10" s="200">
        <f>AVERAGE($D21:$F21)*(1+'User Dashboard'!$C$19)^('T&amp;D'!T$4-$F$4)</f>
        <v>0.30412929905588754</v>
      </c>
      <c r="U10" s="200">
        <f>AVERAGE($D21:$F21)*(1+'User Dashboard'!$C$19)^('T&amp;D'!U$4-$F$4)</f>
        <v>0.3102118850370052</v>
      </c>
      <c r="V10" s="200">
        <f>AVERAGE($D21:$F21)*(1+'User Dashboard'!$C$19)^('T&amp;D'!V$4-$F$4)</f>
        <v>0.31641612273774533</v>
      </c>
      <c r="W10" s="200">
        <f>AVERAGE($D21:$F21)*(1+'User Dashboard'!$C$19)^('T&amp;D'!W$4-$F$4)</f>
        <v>0.32274444519250028</v>
      </c>
      <c r="X10" s="200">
        <f>AVERAGE($D21:$F21)*(1+'User Dashboard'!$C$19)^('T&amp;D'!X$4-$F$4)</f>
        <v>0.32919933409635027</v>
      </c>
      <c r="Y10" s="200">
        <f>AVERAGE($D21:$F21)*(1+'User Dashboard'!$C$19)^('T&amp;D'!Y$4-$F$4)</f>
        <v>0.33578332077827727</v>
      </c>
      <c r="Z10" s="200">
        <f>AVERAGE($D21:$F21)*(1+'User Dashboard'!$C$19)^('T&amp;D'!Z$4-$F$4)</f>
        <v>0.34249898719384281</v>
      </c>
      <c r="AA10" s="200">
        <f>AVERAGE($D21:$F21)*(1+'User Dashboard'!$C$19)^('T&amp;D'!AA$4-$F$4)</f>
        <v>0.34934896693771966</v>
      </c>
      <c r="AB10" s="200">
        <f>AVERAGE($D21:$F21)*(1+'User Dashboard'!$C$19)^('T&amp;D'!AB$4-$F$4)</f>
        <v>0.35633594627647408</v>
      </c>
      <c r="AC10" s="200">
        <f>AVERAGE($D21:$F21)*(1+'User Dashboard'!$C$19)^('T&amp;D'!AC$4-$F$4)</f>
        <v>0.36346266520200349</v>
      </c>
      <c r="AD10" s="200">
        <f>AVERAGE($D21:$F21)*(1+'User Dashboard'!$C$19)^('T&amp;D'!AD$4-$F$4)</f>
        <v>0.37073191850604359</v>
      </c>
      <c r="AE10" s="200">
        <f>AVERAGE($D21:$F21)*(1+'User Dashboard'!$C$19)^('T&amp;D'!AE$4-$F$4)</f>
        <v>0.37814655687616444</v>
      </c>
      <c r="AF10" s="200">
        <f>AVERAGE($D21:$F21)*(1+'User Dashboard'!$C$19)^('T&amp;D'!AF$4-$F$4)</f>
        <v>0.38570948801368776</v>
      </c>
      <c r="AG10" s="200">
        <f>AVERAGE($D21:$F21)*(1+'User Dashboard'!$C$19)^('T&amp;D'!AG$4-$F$4)</f>
        <v>0.39342367777396148</v>
      </c>
      <c r="AH10" s="200">
        <f>AVERAGE($D21:$F21)*(1+'User Dashboard'!$C$19)^('T&amp;D'!AH$4-$F$4)</f>
        <v>0.40129215132944079</v>
      </c>
      <c r="AI10" s="200">
        <f>AVERAGE($D21:$F21)*(1+'User Dashboard'!$C$19)^('T&amp;D'!AI$4-$F$4)</f>
        <v>0.4093179943560295</v>
      </c>
      <c r="AK10" s="113" t="str">
        <f t="shared" si="2"/>
        <v>SoCalGas-Total Core</v>
      </c>
    </row>
    <row r="11" spans="1:44">
      <c r="B11" s="270" t="s">
        <v>127</v>
      </c>
      <c r="C11" s="114" t="s">
        <v>20</v>
      </c>
      <c r="D11" s="207">
        <v>0.33</v>
      </c>
      <c r="E11" s="207">
        <v>0.32</v>
      </c>
      <c r="F11" s="207">
        <v>0.46</v>
      </c>
      <c r="G11" s="200">
        <f>AVERAGE($D22:$F22)*(1+'User Dashboard'!$C$19)^('T&amp;D'!G$4-$F$4)</f>
        <v>0.38410887999999999</v>
      </c>
      <c r="H11" s="200">
        <f>AVERAGE($D22:$F22)*(1+'User Dashboard'!$C$19)^('T&amp;D'!H$4-$F$4)</f>
        <v>0.39179105759999999</v>
      </c>
      <c r="I11" s="200">
        <f>AVERAGE($D22:$F22)*(1+'User Dashboard'!$C$19)^('T&amp;D'!I$4-$F$4)</f>
        <v>0.39962687875199998</v>
      </c>
      <c r="J11" s="200">
        <f>AVERAGE($D22:$F22)*(1+'User Dashboard'!$C$19)^('T&amp;D'!J$4-$F$4)</f>
        <v>0.40761941632703996</v>
      </c>
      <c r="K11" s="200">
        <f>AVERAGE($D22:$F22)*(1+'User Dashboard'!$C$19)^('T&amp;D'!K$4-$F$4)</f>
        <v>0.41577180465358077</v>
      </c>
      <c r="L11" s="200">
        <f>AVERAGE($D22:$F22)*(1+'User Dashboard'!$C$19)^('T&amp;D'!L$4-$F$4)</f>
        <v>0.42408724074665244</v>
      </c>
      <c r="M11" s="200">
        <f>AVERAGE($D22:$F22)*(1+'User Dashboard'!$C$19)^('T&amp;D'!M$4-$F$4)</f>
        <v>0.43256898556158541</v>
      </c>
      <c r="N11" s="200">
        <f>AVERAGE($D22:$F22)*(1+'User Dashboard'!$C$19)^('T&amp;D'!N$4-$F$4)</f>
        <v>0.44122036527281711</v>
      </c>
      <c r="O11" s="200">
        <f>AVERAGE($D22:$F22)*(1+'User Dashboard'!$C$19)^('T&amp;D'!O$4-$F$4)</f>
        <v>0.45004477257827347</v>
      </c>
      <c r="P11" s="200">
        <f>AVERAGE($D22:$F22)*(1+'User Dashboard'!$C$19)^('T&amp;D'!P$4-$F$4)</f>
        <v>0.45904566802983898</v>
      </c>
      <c r="Q11" s="200">
        <f>AVERAGE($D22:$F22)*(1+'User Dashboard'!$C$19)^('T&amp;D'!Q$4-$F$4)</f>
        <v>0.46822658139043566</v>
      </c>
      <c r="R11" s="200">
        <f>AVERAGE($D22:$F22)*(1+'User Dashboard'!$C$19)^('T&amp;D'!R$4-$F$4)</f>
        <v>0.47759111301824442</v>
      </c>
      <c r="S11" s="200">
        <f>AVERAGE($D22:$F22)*(1+'User Dashboard'!$C$19)^('T&amp;D'!S$4-$F$4)</f>
        <v>0.4871429352786093</v>
      </c>
      <c r="T11" s="200">
        <f>AVERAGE($D22:$F22)*(1+'User Dashboard'!$C$19)^('T&amp;D'!T$4-$F$4)</f>
        <v>0.49688579398418153</v>
      </c>
      <c r="U11" s="200">
        <f>AVERAGE($D22:$F22)*(1+'User Dashboard'!$C$19)^('T&amp;D'!U$4-$F$4)</f>
        <v>0.50682350986386504</v>
      </c>
      <c r="V11" s="200">
        <f>AVERAGE($D22:$F22)*(1+'User Dashboard'!$C$19)^('T&amp;D'!V$4-$F$4)</f>
        <v>0.51695998006114241</v>
      </c>
      <c r="W11" s="200">
        <f>AVERAGE($D22:$F22)*(1+'User Dashboard'!$C$19)^('T&amp;D'!W$4-$F$4)</f>
        <v>0.52729917966236528</v>
      </c>
      <c r="X11" s="200">
        <f>AVERAGE($D22:$F22)*(1+'User Dashboard'!$C$19)^('T&amp;D'!X$4-$F$4)</f>
        <v>0.5378451632556126</v>
      </c>
      <c r="Y11" s="200">
        <f>AVERAGE($D22:$F22)*(1+'User Dashboard'!$C$19)^('T&amp;D'!Y$4-$F$4)</f>
        <v>0.54860206652072474</v>
      </c>
      <c r="Z11" s="200">
        <f>AVERAGE($D22:$F22)*(1+'User Dashboard'!$C$19)^('T&amp;D'!Z$4-$F$4)</f>
        <v>0.55957410785113937</v>
      </c>
      <c r="AA11" s="200">
        <f>AVERAGE($D22:$F22)*(1+'User Dashboard'!$C$19)^('T&amp;D'!AA$4-$F$4)</f>
        <v>0.57076559000816207</v>
      </c>
      <c r="AB11" s="200">
        <f>AVERAGE($D22:$F22)*(1+'User Dashboard'!$C$19)^('T&amp;D'!AB$4-$F$4)</f>
        <v>0.58218090180832538</v>
      </c>
      <c r="AC11" s="200">
        <f>AVERAGE($D22:$F22)*(1+'User Dashboard'!$C$19)^('T&amp;D'!AC$4-$F$4)</f>
        <v>0.5938245198444918</v>
      </c>
      <c r="AD11" s="200">
        <f>AVERAGE($D22:$F22)*(1+'User Dashboard'!$C$19)^('T&amp;D'!AD$4-$F$4)</f>
        <v>0.60570101024138168</v>
      </c>
      <c r="AE11" s="200">
        <f>AVERAGE($D22:$F22)*(1+'User Dashboard'!$C$19)^('T&amp;D'!AE$4-$F$4)</f>
        <v>0.61781503044620922</v>
      </c>
      <c r="AF11" s="200">
        <f>AVERAGE($D22:$F22)*(1+'User Dashboard'!$C$19)^('T&amp;D'!AF$4-$F$4)</f>
        <v>0.63017133105513357</v>
      </c>
      <c r="AG11" s="200">
        <f>AVERAGE($D22:$F22)*(1+'User Dashboard'!$C$19)^('T&amp;D'!AG$4-$F$4)</f>
        <v>0.64277475767623604</v>
      </c>
      <c r="AH11" s="200">
        <f>AVERAGE($D22:$F22)*(1+'User Dashboard'!$C$19)^('T&amp;D'!AH$4-$F$4)</f>
        <v>0.65563025282976095</v>
      </c>
      <c r="AI11" s="200">
        <f>AVERAGE($D22:$F22)*(1+'User Dashboard'!$C$19)^('T&amp;D'!AI$4-$F$4)</f>
        <v>0.66874285788635601</v>
      </c>
      <c r="AK11" s="113" t="str">
        <f>_xlfn.CONCAT($B$11,"-",C11)</f>
        <v>SDG&amp;E-Residential</v>
      </c>
    </row>
    <row r="12" spans="1:44">
      <c r="B12" s="271"/>
      <c r="C12" s="115" t="s">
        <v>125</v>
      </c>
      <c r="D12" s="207">
        <v>0.2</v>
      </c>
      <c r="E12" s="207">
        <v>0.19</v>
      </c>
      <c r="F12" s="207">
        <v>0.23</v>
      </c>
      <c r="G12" s="200">
        <f>AVERAGE($D23:$F23)*(1+'User Dashboard'!$C$19)^('T&amp;D'!G$4-$F$4)</f>
        <v>0.21483919999999998</v>
      </c>
      <c r="H12" s="200">
        <f>AVERAGE($D23:$F23)*(1+'User Dashboard'!$C$19)^('T&amp;D'!H$4-$F$4)</f>
        <v>0.21913598399999998</v>
      </c>
      <c r="I12" s="200">
        <f>AVERAGE($D23:$F23)*(1+'User Dashboard'!$C$19)^('T&amp;D'!I$4-$F$4)</f>
        <v>0.22351870367999999</v>
      </c>
      <c r="J12" s="200">
        <f>AVERAGE($D23:$F23)*(1+'User Dashboard'!$C$19)^('T&amp;D'!J$4-$F$4)</f>
        <v>0.22798907775359997</v>
      </c>
      <c r="K12" s="200">
        <f>AVERAGE($D23:$F23)*(1+'User Dashboard'!$C$19)^('T&amp;D'!K$4-$F$4)</f>
        <v>0.232548859308672</v>
      </c>
      <c r="L12" s="200">
        <f>AVERAGE($D23:$F23)*(1+'User Dashboard'!$C$19)^('T&amp;D'!L$4-$F$4)</f>
        <v>0.23719983649484544</v>
      </c>
      <c r="M12" s="200">
        <f>AVERAGE($D23:$F23)*(1+'User Dashboard'!$C$19)^('T&amp;D'!M$4-$F$4)</f>
        <v>0.24194383322474231</v>
      </c>
      <c r="N12" s="200">
        <f>AVERAGE($D23:$F23)*(1+'User Dashboard'!$C$19)^('T&amp;D'!N$4-$F$4)</f>
        <v>0.24678270988923717</v>
      </c>
      <c r="O12" s="200">
        <f>AVERAGE($D23:$F23)*(1+'User Dashboard'!$C$19)^('T&amp;D'!O$4-$F$4)</f>
        <v>0.25171836408702192</v>
      </c>
      <c r="P12" s="200">
        <f>AVERAGE($D23:$F23)*(1+'User Dashboard'!$C$19)^('T&amp;D'!P$4-$F$4)</f>
        <v>0.25675273136876237</v>
      </c>
      <c r="Q12" s="200">
        <f>AVERAGE($D23:$F23)*(1+'User Dashboard'!$C$19)^('T&amp;D'!Q$4-$F$4)</f>
        <v>0.26188778599613755</v>
      </c>
      <c r="R12" s="200">
        <f>AVERAGE($D23:$F23)*(1+'User Dashboard'!$C$19)^('T&amp;D'!R$4-$F$4)</f>
        <v>0.26712554171606034</v>
      </c>
      <c r="S12" s="200">
        <f>AVERAGE($D23:$F23)*(1+'User Dashboard'!$C$19)^('T&amp;D'!S$4-$F$4)</f>
        <v>0.27246805255038153</v>
      </c>
      <c r="T12" s="200">
        <f>AVERAGE($D23:$F23)*(1+'User Dashboard'!$C$19)^('T&amp;D'!T$4-$F$4)</f>
        <v>0.27791741360138922</v>
      </c>
      <c r="U12" s="200">
        <f>AVERAGE($D23:$F23)*(1+'User Dashboard'!$C$19)^('T&amp;D'!U$4-$F$4)</f>
        <v>0.28347576187341689</v>
      </c>
      <c r="V12" s="200">
        <f>AVERAGE($D23:$F23)*(1+'User Dashboard'!$C$19)^('T&amp;D'!V$4-$F$4)</f>
        <v>0.28914527711088528</v>
      </c>
      <c r="W12" s="200">
        <f>AVERAGE($D23:$F23)*(1+'User Dashboard'!$C$19)^('T&amp;D'!W$4-$F$4)</f>
        <v>0.29492818265310305</v>
      </c>
      <c r="X12" s="200">
        <f>AVERAGE($D23:$F23)*(1+'User Dashboard'!$C$19)^('T&amp;D'!X$4-$F$4)</f>
        <v>0.30082674630616507</v>
      </c>
      <c r="Y12" s="200">
        <f>AVERAGE($D23:$F23)*(1+'User Dashboard'!$C$19)^('T&amp;D'!Y$4-$F$4)</f>
        <v>0.30684328123228832</v>
      </c>
      <c r="Z12" s="200">
        <f>AVERAGE($D23:$F23)*(1+'User Dashboard'!$C$19)^('T&amp;D'!Z$4-$F$4)</f>
        <v>0.31298014685693415</v>
      </c>
      <c r="AA12" s="200">
        <f>AVERAGE($D23:$F23)*(1+'User Dashboard'!$C$19)^('T&amp;D'!AA$4-$F$4)</f>
        <v>0.31923974979407282</v>
      </c>
      <c r="AB12" s="200">
        <f>AVERAGE($D23:$F23)*(1+'User Dashboard'!$C$19)^('T&amp;D'!AB$4-$F$4)</f>
        <v>0.32562454478995428</v>
      </c>
      <c r="AC12" s="200">
        <f>AVERAGE($D23:$F23)*(1+'User Dashboard'!$C$19)^('T&amp;D'!AC$4-$F$4)</f>
        <v>0.33213703568575331</v>
      </c>
      <c r="AD12" s="200">
        <f>AVERAGE($D23:$F23)*(1+'User Dashboard'!$C$19)^('T&amp;D'!AD$4-$F$4)</f>
        <v>0.33877977639946838</v>
      </c>
      <c r="AE12" s="200">
        <f>AVERAGE($D23:$F23)*(1+'User Dashboard'!$C$19)^('T&amp;D'!AE$4-$F$4)</f>
        <v>0.34555537192745778</v>
      </c>
      <c r="AF12" s="200">
        <f>AVERAGE($D23:$F23)*(1+'User Dashboard'!$C$19)^('T&amp;D'!AF$4-$F$4)</f>
        <v>0.35246647936600695</v>
      </c>
      <c r="AG12" s="200">
        <f>AVERAGE($D23:$F23)*(1+'User Dashboard'!$C$19)^('T&amp;D'!AG$4-$F$4)</f>
        <v>0.35951580895332702</v>
      </c>
      <c r="AH12" s="200">
        <f>AVERAGE($D23:$F23)*(1+'User Dashboard'!$C$19)^('T&amp;D'!AH$4-$F$4)</f>
        <v>0.36670612513239365</v>
      </c>
      <c r="AI12" s="200">
        <f>AVERAGE($D23:$F23)*(1+'User Dashboard'!$C$19)^('T&amp;D'!AI$4-$F$4)</f>
        <v>0.37404024763504146</v>
      </c>
      <c r="AK12" s="113" t="str">
        <f t="shared" ref="AK12:AK13" si="3">_xlfn.CONCAT($B$11,"-",C12)</f>
        <v>SDG&amp;E-Commercial</v>
      </c>
    </row>
    <row r="13" spans="1:44" ht="16" thickBot="1">
      <c r="B13" s="272"/>
      <c r="C13" s="116" t="s">
        <v>126</v>
      </c>
      <c r="D13" s="207">
        <v>0.27</v>
      </c>
      <c r="E13" s="207">
        <v>0.26</v>
      </c>
      <c r="F13" s="207">
        <v>0.36</v>
      </c>
      <c r="G13" s="200">
        <f>AVERAGE($D24:$F24)*(1+'User Dashboard'!$C$19)^('T&amp;D'!G$4-$F$4)</f>
        <v>0.30807672000000003</v>
      </c>
      <c r="H13" s="200">
        <f>AVERAGE($D24:$F24)*(1+'User Dashboard'!$C$19)^('T&amp;D'!H$4-$F$4)</f>
        <v>0.31423825440000003</v>
      </c>
      <c r="I13" s="200">
        <f>AVERAGE($D24:$F24)*(1+'User Dashboard'!$C$19)^('T&amp;D'!I$4-$F$4)</f>
        <v>0.32052301948799999</v>
      </c>
      <c r="J13" s="200">
        <f>AVERAGE($D24:$F24)*(1+'User Dashboard'!$C$19)^('T&amp;D'!J$4-$F$4)</f>
        <v>0.32693347987776</v>
      </c>
      <c r="K13" s="200">
        <f>AVERAGE($D24:$F24)*(1+'User Dashboard'!$C$19)^('T&amp;D'!K$4-$F$4)</f>
        <v>0.33347214947531523</v>
      </c>
      <c r="L13" s="200">
        <f>AVERAGE($D24:$F24)*(1+'User Dashboard'!$C$19)^('T&amp;D'!L$4-$F$4)</f>
        <v>0.34014159246482156</v>
      </c>
      <c r="M13" s="200">
        <f>AVERAGE($D24:$F24)*(1+'User Dashboard'!$C$19)^('T&amp;D'!M$4-$F$4)</f>
        <v>0.34694442431411793</v>
      </c>
      <c r="N13" s="200">
        <f>AVERAGE($D24:$F24)*(1+'User Dashboard'!$C$19)^('T&amp;D'!N$4-$F$4)</f>
        <v>0.35388331280040031</v>
      </c>
      <c r="O13" s="200">
        <f>AVERAGE($D24:$F24)*(1+'User Dashboard'!$C$19)^('T&amp;D'!O$4-$F$4)</f>
        <v>0.36096097905640828</v>
      </c>
      <c r="P13" s="200">
        <f>AVERAGE($D24:$F24)*(1+'User Dashboard'!$C$19)^('T&amp;D'!P$4-$F$4)</f>
        <v>0.36818019863753648</v>
      </c>
      <c r="Q13" s="200">
        <f>AVERAGE($D24:$F24)*(1+'User Dashboard'!$C$19)^('T&amp;D'!Q$4-$F$4)</f>
        <v>0.37554380261028714</v>
      </c>
      <c r="R13" s="200">
        <f>AVERAGE($D24:$F24)*(1+'User Dashboard'!$C$19)^('T&amp;D'!R$4-$F$4)</f>
        <v>0.38305467866249293</v>
      </c>
      <c r="S13" s="200">
        <f>AVERAGE($D24:$F24)*(1+'User Dashboard'!$C$19)^('T&amp;D'!S$4-$F$4)</f>
        <v>0.39071577223574278</v>
      </c>
      <c r="T13" s="200">
        <f>AVERAGE($D24:$F24)*(1+'User Dashboard'!$C$19)^('T&amp;D'!T$4-$F$4)</f>
        <v>0.39853008768045767</v>
      </c>
      <c r="U13" s="200">
        <f>AVERAGE($D24:$F24)*(1+'User Dashboard'!$C$19)^('T&amp;D'!U$4-$F$4)</f>
        <v>0.40650068943406675</v>
      </c>
      <c r="V13" s="200">
        <f>AVERAGE($D24:$F24)*(1+'User Dashboard'!$C$19)^('T&amp;D'!V$4-$F$4)</f>
        <v>0.41463070322274814</v>
      </c>
      <c r="W13" s="200">
        <f>AVERAGE($D24:$F24)*(1+'User Dashboard'!$C$19)^('T&amp;D'!W$4-$F$4)</f>
        <v>0.42292331728720312</v>
      </c>
      <c r="X13" s="200">
        <f>AVERAGE($D24:$F24)*(1+'User Dashboard'!$C$19)^('T&amp;D'!X$4-$F$4)</f>
        <v>0.43138178363294716</v>
      </c>
      <c r="Y13" s="200">
        <f>AVERAGE($D24:$F24)*(1+'User Dashboard'!$C$19)^('T&amp;D'!Y$4-$F$4)</f>
        <v>0.44000941930560605</v>
      </c>
      <c r="Z13" s="200">
        <f>AVERAGE($D24:$F24)*(1+'User Dashboard'!$C$19)^('T&amp;D'!Z$4-$F$4)</f>
        <v>0.44880960769171824</v>
      </c>
      <c r="AA13" s="200">
        <f>AVERAGE($D24:$F24)*(1+'User Dashboard'!$C$19)^('T&amp;D'!AA$4-$F$4)</f>
        <v>0.45778579984555257</v>
      </c>
      <c r="AB13" s="200">
        <f>AVERAGE($D24:$F24)*(1+'User Dashboard'!$C$19)^('T&amp;D'!AB$4-$F$4)</f>
        <v>0.46694151584246363</v>
      </c>
      <c r="AC13" s="200">
        <f>AVERAGE($D24:$F24)*(1+'User Dashboard'!$C$19)^('T&amp;D'!AC$4-$F$4)</f>
        <v>0.47628034615931286</v>
      </c>
      <c r="AD13" s="200">
        <f>AVERAGE($D24:$F24)*(1+'User Dashboard'!$C$19)^('T&amp;D'!AD$4-$F$4)</f>
        <v>0.48580595308249913</v>
      </c>
      <c r="AE13" s="200">
        <f>AVERAGE($D24:$F24)*(1+'User Dashboard'!$C$19)^('T&amp;D'!AE$4-$F$4)</f>
        <v>0.49552207214414912</v>
      </c>
      <c r="AF13" s="200">
        <f>AVERAGE($D24:$F24)*(1+'User Dashboard'!$C$19)^('T&amp;D'!AF$4-$F$4)</f>
        <v>0.50543251358703212</v>
      </c>
      <c r="AG13" s="200">
        <f>AVERAGE($D24:$F24)*(1+'User Dashboard'!$C$19)^('T&amp;D'!AG$4-$F$4)</f>
        <v>0.51554116385877269</v>
      </c>
      <c r="AH13" s="200">
        <f>AVERAGE($D24:$F24)*(1+'User Dashboard'!$C$19)^('T&amp;D'!AH$4-$F$4)</f>
        <v>0.52585198713594827</v>
      </c>
      <c r="AI13" s="200">
        <f>AVERAGE($D24:$F24)*(1+'User Dashboard'!$C$19)^('T&amp;D'!AI$4-$F$4)</f>
        <v>0.53636902687866717</v>
      </c>
      <c r="AK13" s="113" t="str">
        <f t="shared" si="3"/>
        <v>SDG&amp;E-Total Core</v>
      </c>
    </row>
    <row r="15" spans="1:44" ht="16" thickBot="1">
      <c r="C15" s="234" t="str">
        <f>F4&amp;"$/Therm"</f>
        <v>2026$/Therm</v>
      </c>
      <c r="D15" s="234">
        <v>2024</v>
      </c>
      <c r="E15" s="234">
        <f>D15+1</f>
        <v>2025</v>
      </c>
      <c r="F15" s="234">
        <f t="shared" ref="F15" si="4">E15+1</f>
        <v>2026</v>
      </c>
      <c r="AK15" s="113"/>
    </row>
    <row r="16" spans="1:44">
      <c r="B16" s="270" t="s">
        <v>124</v>
      </c>
      <c r="C16" s="114" t="s">
        <v>20</v>
      </c>
      <c r="D16" s="200">
        <f>D5/(1+'User Dashboard'!$C$19)^('T&amp;D'!D$15-$F$4)</f>
        <v>0.51033654308125176</v>
      </c>
      <c r="E16" s="200">
        <f>E5/(1+'User Dashboard'!$C$19)^('T&amp;D'!E$15-$F$4)</f>
        <v>0.58669240919844079</v>
      </c>
      <c r="F16" s="200">
        <f>F5/(1+'User Dashboard'!$C$19)^('T&amp;D'!F$15-$F$4)</f>
        <v>0.56974563576309967</v>
      </c>
      <c r="AK16" s="113"/>
    </row>
    <row r="17" spans="1:44">
      <c r="B17" s="271"/>
      <c r="C17" s="115" t="s">
        <v>125</v>
      </c>
      <c r="D17" s="200">
        <f>D6/(1+'User Dashboard'!$C$19)^('T&amp;D'!D$15-$F$4)</f>
        <v>0.28902047110793055</v>
      </c>
      <c r="E17" s="200">
        <f>E6/(1+'User Dashboard'!$C$19)^('T&amp;D'!E$15-$F$4)</f>
        <v>0.32712151990957661</v>
      </c>
      <c r="F17" s="200">
        <f>F6/(1+'User Dashboard'!$C$19)^('T&amp;D'!F$15-$F$4)</f>
        <v>0.31767402416518392</v>
      </c>
      <c r="AK17" s="113"/>
    </row>
    <row r="18" spans="1:44" ht="16" thickBot="1">
      <c r="B18" s="272"/>
      <c r="C18" s="116" t="s">
        <v>126</v>
      </c>
      <c r="D18" s="200">
        <f>D7/(1+'User Dashboard'!$C$19)^('T&amp;D'!D$15-$F$4)</f>
        <v>0.43815041372540653</v>
      </c>
      <c r="E18" s="200">
        <f>E7/(1+'User Dashboard'!$C$19)^('T&amp;D'!E$15-$F$4)</f>
        <v>0.49962214040322428</v>
      </c>
      <c r="F18" s="200">
        <f>F7/(1+'User Dashboard'!$C$19)^('T&amp;D'!F$15-$F$4)</f>
        <v>0.48519042782318927</v>
      </c>
      <c r="AK18" s="113"/>
    </row>
    <row r="19" spans="1:44">
      <c r="B19" s="270" t="s">
        <v>18</v>
      </c>
      <c r="C19" s="114" t="s">
        <v>20</v>
      </c>
      <c r="D19" s="200">
        <f>D8/(1+'User Dashboard'!$C$19)^('T&amp;D'!D$15-$F$4)</f>
        <v>0.22888799999999998</v>
      </c>
      <c r="E19" s="200">
        <f>E8/(1+'User Dashboard'!$C$19)^('T&amp;D'!E$15-$F$4)</f>
        <v>0.22440000000000002</v>
      </c>
      <c r="F19" s="200">
        <f>F8/(1+'User Dashboard'!$C$19)^('T&amp;D'!F$15-$F$4)</f>
        <v>0.36</v>
      </c>
      <c r="AK19" s="113"/>
    </row>
    <row r="20" spans="1:44">
      <c r="B20" s="271"/>
      <c r="C20" s="115" t="s">
        <v>125</v>
      </c>
      <c r="D20" s="200">
        <f>D9/(1+'User Dashboard'!$C$19)^('T&amp;D'!D$15-$F$4)</f>
        <v>0.13525200000000001</v>
      </c>
      <c r="E20" s="200">
        <f>E9/(1+'User Dashboard'!$C$19)^('T&amp;D'!E$15-$F$4)</f>
        <v>0.13260000000000002</v>
      </c>
      <c r="F20" s="200">
        <f>F9/(1+'User Dashboard'!$C$19)^('T&amp;D'!F$15-$F$4)</f>
        <v>0.21</v>
      </c>
      <c r="AK20" s="113"/>
    </row>
    <row r="21" spans="1:44" ht="16" thickBot="1">
      <c r="B21" s="272"/>
      <c r="C21" s="116" t="s">
        <v>126</v>
      </c>
      <c r="D21" s="200">
        <f>D10/(1+'User Dashboard'!$C$19)^('T&amp;D'!D$15-$F$4)</f>
        <v>0.19767599999999999</v>
      </c>
      <c r="E21" s="200">
        <f>E10/(1+'User Dashboard'!$C$19)^('T&amp;D'!E$15-$F$4)</f>
        <v>0.1938</v>
      </c>
      <c r="F21" s="200">
        <f>F10/(1+'User Dashboard'!$C$19)^('T&amp;D'!F$15-$F$4)</f>
        <v>0.3</v>
      </c>
      <c r="AK21" s="113"/>
    </row>
    <row r="22" spans="1:44">
      <c r="B22" s="270" t="s">
        <v>127</v>
      </c>
      <c r="C22" s="114" t="s">
        <v>20</v>
      </c>
      <c r="D22" s="200">
        <f>D11/(1+'User Dashboard'!$C$19)^('T&amp;D'!D$15-$F$4)</f>
        <v>0.34333200000000003</v>
      </c>
      <c r="E22" s="200">
        <f>E11/(1+'User Dashboard'!$C$19)^('T&amp;D'!E$15-$F$4)</f>
        <v>0.32640000000000002</v>
      </c>
      <c r="F22" s="200">
        <f>F11/(1+'User Dashboard'!$C$19)^('T&amp;D'!F$15-$F$4)</f>
        <v>0.46</v>
      </c>
      <c r="AK22" s="113"/>
    </row>
    <row r="23" spans="1:44">
      <c r="B23" s="271"/>
      <c r="C23" s="115" t="s">
        <v>125</v>
      </c>
      <c r="D23" s="200">
        <f>D12/(1+'User Dashboard'!$C$19)^('T&amp;D'!D$15-$F$4)</f>
        <v>0.20808000000000001</v>
      </c>
      <c r="E23" s="200">
        <f>E12/(1+'User Dashboard'!$C$19)^('T&amp;D'!E$15-$F$4)</f>
        <v>0.1938</v>
      </c>
      <c r="F23" s="200">
        <f>F12/(1+'User Dashboard'!$C$19)^('T&amp;D'!F$15-$F$4)</f>
        <v>0.23</v>
      </c>
      <c r="AK23" s="113"/>
    </row>
    <row r="24" spans="1:44" ht="16" thickBot="1">
      <c r="B24" s="272"/>
      <c r="C24" s="116" t="s">
        <v>126</v>
      </c>
      <c r="D24" s="200">
        <f>D13/(1+'User Dashboard'!$C$19)^('T&amp;D'!D$15-$F$4)</f>
        <v>0.28090799999999999</v>
      </c>
      <c r="E24" s="200">
        <f>E13/(1+'User Dashboard'!$C$19)^('T&amp;D'!E$15-$F$4)</f>
        <v>0.26520000000000005</v>
      </c>
      <c r="F24" s="200">
        <f>F13/(1+'User Dashboard'!$C$19)^('T&amp;D'!F$15-$F$4)</f>
        <v>0.36</v>
      </c>
      <c r="AK24" s="113"/>
    </row>
    <row r="25" spans="1:44">
      <c r="E25" s="117"/>
    </row>
    <row r="27" spans="1:44">
      <c r="A27" s="234"/>
      <c r="B27" s="234" t="s">
        <v>128</v>
      </c>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row>
    <row r="28" spans="1:44">
      <c r="B28" s="111" t="s">
        <v>129</v>
      </c>
    </row>
    <row r="29" spans="1:44">
      <c r="C29" s="269" t="s">
        <v>124</v>
      </c>
      <c r="D29" s="269"/>
      <c r="E29" s="269"/>
      <c r="F29" s="269" t="s">
        <v>18</v>
      </c>
      <c r="G29" s="269"/>
      <c r="H29" s="269"/>
      <c r="I29" s="269" t="s">
        <v>127</v>
      </c>
      <c r="J29" s="269"/>
      <c r="K29" s="269"/>
    </row>
    <row r="30" spans="1:44">
      <c r="C30" s="234" t="s">
        <v>20</v>
      </c>
      <c r="D30" s="234" t="s">
        <v>125</v>
      </c>
      <c r="E30" s="234" t="s">
        <v>126</v>
      </c>
      <c r="F30" s="234" t="s">
        <v>20</v>
      </c>
      <c r="G30" s="234" t="s">
        <v>125</v>
      </c>
      <c r="H30" s="234" t="s">
        <v>126</v>
      </c>
      <c r="I30" s="234" t="s">
        <v>20</v>
      </c>
      <c r="J30" s="234" t="s">
        <v>125</v>
      </c>
      <c r="K30" s="234" t="s">
        <v>126</v>
      </c>
    </row>
    <row r="31" spans="1:44">
      <c r="B31" s="118" t="s">
        <v>52</v>
      </c>
      <c r="C31" s="208">
        <v>0.17837893171073993</v>
      </c>
      <c r="D31" s="208">
        <v>0.13013956012226266</v>
      </c>
      <c r="E31" s="208">
        <v>0.16220798610272127</v>
      </c>
      <c r="F31" s="208">
        <v>0.13900000000000001</v>
      </c>
      <c r="G31" s="208">
        <v>0.106</v>
      </c>
      <c r="H31" s="208">
        <v>0.125</v>
      </c>
      <c r="I31" s="208">
        <v>0.13600000000000001</v>
      </c>
      <c r="J31" s="208">
        <v>0.109</v>
      </c>
      <c r="K31" s="208">
        <v>0.123</v>
      </c>
      <c r="M31" s="117"/>
    </row>
    <row r="32" spans="1:44">
      <c r="B32" s="118" t="s">
        <v>54</v>
      </c>
      <c r="C32" s="208">
        <v>0.13147753917686406</v>
      </c>
      <c r="D32" s="208">
        <v>0.10516039197903759</v>
      </c>
      <c r="E32" s="208">
        <v>0.12265542682588294</v>
      </c>
      <c r="F32" s="208">
        <v>0.122</v>
      </c>
      <c r="G32" s="208">
        <v>0.10199999999999999</v>
      </c>
      <c r="H32" s="208">
        <v>0.112</v>
      </c>
      <c r="I32" s="208">
        <v>0.11899999999999999</v>
      </c>
      <c r="J32" s="208">
        <v>0.10199999999999999</v>
      </c>
      <c r="K32" s="208">
        <v>0.111</v>
      </c>
    </row>
    <row r="33" spans="2:22">
      <c r="B33" s="118" t="s">
        <v>56</v>
      </c>
      <c r="C33" s="208">
        <v>0.1018855190654956</v>
      </c>
      <c r="D33" s="208">
        <v>9.3514792254569268E-2</v>
      </c>
      <c r="E33" s="208">
        <v>9.9079459129354008E-2</v>
      </c>
      <c r="F33" s="208">
        <v>0.106</v>
      </c>
      <c r="G33" s="208">
        <v>9.2999999999999999E-2</v>
      </c>
      <c r="H33" s="208">
        <v>0.1</v>
      </c>
      <c r="I33" s="208">
        <v>0.109</v>
      </c>
      <c r="J33" s="208">
        <v>9.6000000000000002E-2</v>
      </c>
      <c r="K33" s="208">
        <v>0.10199999999999999</v>
      </c>
    </row>
    <row r="34" spans="2:22">
      <c r="B34" s="118" t="s">
        <v>58</v>
      </c>
      <c r="C34" s="208">
        <v>7.2315197815173107E-2</v>
      </c>
      <c r="D34" s="208">
        <v>8.4185942146189546E-2</v>
      </c>
      <c r="E34" s="208">
        <v>7.6294544033468692E-2</v>
      </c>
      <c r="F34" s="208">
        <v>8.6999999999999994E-2</v>
      </c>
      <c r="G34" s="208">
        <v>8.5000000000000006E-2</v>
      </c>
      <c r="H34" s="208">
        <v>8.5999999999999993E-2</v>
      </c>
      <c r="I34" s="208">
        <v>0.09</v>
      </c>
      <c r="J34" s="208">
        <v>8.7999999999999995E-2</v>
      </c>
      <c r="K34" s="208">
        <v>8.7999999999999995E-2</v>
      </c>
    </row>
    <row r="35" spans="2:22">
      <c r="B35" s="118" t="s">
        <v>59</v>
      </c>
      <c r="C35" s="208">
        <v>5.0495726531503145E-2</v>
      </c>
      <c r="D35" s="208">
        <v>7.2423740079392993E-2</v>
      </c>
      <c r="E35" s="208">
        <v>5.784650044704736E-2</v>
      </c>
      <c r="F35" s="208">
        <v>6.3E-2</v>
      </c>
      <c r="G35" s="208">
        <v>7.3999999999999996E-2</v>
      </c>
      <c r="H35" s="208">
        <v>6.7000000000000004E-2</v>
      </c>
      <c r="I35" s="208">
        <v>6.7000000000000004E-2</v>
      </c>
      <c r="J35" s="208">
        <v>7.4999999999999997E-2</v>
      </c>
      <c r="K35" s="208">
        <v>7.0999999999999994E-2</v>
      </c>
    </row>
    <row r="36" spans="2:22">
      <c r="B36" s="118" t="s">
        <v>60</v>
      </c>
      <c r="C36" s="208">
        <v>3.7100160073866038E-2</v>
      </c>
      <c r="D36" s="208">
        <v>6.0370119513986097E-2</v>
      </c>
      <c r="E36" s="208">
        <v>4.490078508235737E-2</v>
      </c>
      <c r="F36" s="208">
        <v>4.9000000000000002E-2</v>
      </c>
      <c r="G36" s="208">
        <v>6.8000000000000005E-2</v>
      </c>
      <c r="H36" s="208">
        <v>5.7000000000000002E-2</v>
      </c>
      <c r="I36" s="208">
        <v>5.0999999999999997E-2</v>
      </c>
      <c r="J36" s="208">
        <v>6.8000000000000005E-2</v>
      </c>
      <c r="K36" s="208">
        <v>5.8999999999999997E-2</v>
      </c>
    </row>
    <row r="37" spans="2:22">
      <c r="B37" s="118" t="s">
        <v>61</v>
      </c>
      <c r="C37" s="208">
        <v>3.3288589301726748E-2</v>
      </c>
      <c r="D37" s="208">
        <v>5.7664196979453124E-2</v>
      </c>
      <c r="E37" s="208">
        <v>4.1459853000631784E-2</v>
      </c>
      <c r="F37" s="208">
        <v>4.7E-2</v>
      </c>
      <c r="G37" s="208">
        <v>6.6000000000000003E-2</v>
      </c>
      <c r="H37" s="208">
        <v>5.5E-2</v>
      </c>
      <c r="I37" s="208">
        <v>4.9000000000000002E-2</v>
      </c>
      <c r="J37" s="208">
        <v>6.6000000000000003E-2</v>
      </c>
      <c r="K37" s="208">
        <v>5.7000000000000002E-2</v>
      </c>
    </row>
    <row r="38" spans="2:22">
      <c r="B38" s="118" t="s">
        <v>62</v>
      </c>
      <c r="C38" s="208">
        <v>3.3130973734635201E-2</v>
      </c>
      <c r="D38" s="208">
        <v>5.7759314681359475E-2</v>
      </c>
      <c r="E38" s="208">
        <v>4.1386959431603705E-2</v>
      </c>
      <c r="F38" s="208">
        <v>4.7E-2</v>
      </c>
      <c r="G38" s="208">
        <v>6.7000000000000004E-2</v>
      </c>
      <c r="H38" s="208">
        <v>5.6000000000000001E-2</v>
      </c>
      <c r="I38" s="208">
        <v>4.8000000000000001E-2</v>
      </c>
      <c r="J38" s="208">
        <v>6.5000000000000002E-2</v>
      </c>
      <c r="K38" s="208">
        <v>5.7000000000000002E-2</v>
      </c>
      <c r="N38" s="111"/>
      <c r="O38" s="111"/>
      <c r="P38" s="111"/>
      <c r="Q38" s="111"/>
      <c r="R38" s="111"/>
      <c r="S38" s="111"/>
      <c r="T38" s="111"/>
      <c r="U38" s="111"/>
      <c r="V38" s="111"/>
    </row>
    <row r="39" spans="2:22">
      <c r="B39" s="118" t="s">
        <v>63</v>
      </c>
      <c r="C39" s="208">
        <v>3.4720164013980127E-2</v>
      </c>
      <c r="D39" s="208">
        <v>5.8478287813437481E-2</v>
      </c>
      <c r="E39" s="208">
        <v>4.2684432930811728E-2</v>
      </c>
      <c r="F39" s="208">
        <v>4.5999999999999999E-2</v>
      </c>
      <c r="G39" s="208">
        <v>6.8000000000000005E-2</v>
      </c>
      <c r="H39" s="208">
        <v>5.5E-2</v>
      </c>
      <c r="I39" s="208">
        <v>4.7E-2</v>
      </c>
      <c r="J39" s="208">
        <v>6.5000000000000002E-2</v>
      </c>
      <c r="K39" s="208">
        <v>5.6000000000000001E-2</v>
      </c>
    </row>
    <row r="40" spans="2:22">
      <c r="B40" s="118" t="s">
        <v>64</v>
      </c>
      <c r="C40" s="208">
        <v>4.7956455400214537E-2</v>
      </c>
      <c r="D40" s="208">
        <v>6.7452092953745796E-2</v>
      </c>
      <c r="E40" s="208">
        <v>5.4491841001031646E-2</v>
      </c>
      <c r="F40" s="208">
        <v>5.7000000000000002E-2</v>
      </c>
      <c r="G40" s="208">
        <v>7.2999999999999995E-2</v>
      </c>
      <c r="H40" s="208">
        <v>6.4000000000000001E-2</v>
      </c>
      <c r="I40" s="208">
        <v>5.7000000000000002E-2</v>
      </c>
      <c r="J40" s="208">
        <v>6.9000000000000006E-2</v>
      </c>
      <c r="K40" s="208">
        <v>6.3E-2</v>
      </c>
    </row>
    <row r="41" spans="2:22">
      <c r="B41" s="118" t="s">
        <v>65</v>
      </c>
      <c r="C41" s="208">
        <v>0.10450965054627351</v>
      </c>
      <c r="D41" s="208">
        <v>9.0906162023102102E-2</v>
      </c>
      <c r="E41" s="208">
        <v>9.9949448666693946E-2</v>
      </c>
      <c r="F41" s="208">
        <v>9.1999999999999998E-2</v>
      </c>
      <c r="G41" s="208">
        <v>8.7999999999999995E-2</v>
      </c>
      <c r="H41" s="208">
        <v>9.0999999999999998E-2</v>
      </c>
      <c r="I41" s="208">
        <v>8.8999999999999996E-2</v>
      </c>
      <c r="J41" s="208">
        <v>8.5999999999999993E-2</v>
      </c>
      <c r="K41" s="208">
        <v>8.7999999999999995E-2</v>
      </c>
    </row>
    <row r="42" spans="2:22">
      <c r="B42" s="118" t="s">
        <v>66</v>
      </c>
      <c r="C42" s="208">
        <v>0.174741092629528</v>
      </c>
      <c r="D42" s="208">
        <v>0.12194539945346393</v>
      </c>
      <c r="E42" s="208">
        <v>0.15704276334839556</v>
      </c>
      <c r="F42" s="208">
        <v>0.14599999999999999</v>
      </c>
      <c r="G42" s="208">
        <v>0.11</v>
      </c>
      <c r="H42" s="208">
        <v>0.13100000000000001</v>
      </c>
      <c r="I42" s="208">
        <v>0.13900000000000001</v>
      </c>
      <c r="J42" s="208">
        <v>0.11</v>
      </c>
      <c r="K42" s="208">
        <v>0.126</v>
      </c>
    </row>
    <row r="43" spans="2:22">
      <c r="C43" s="113"/>
    </row>
    <row r="45" spans="2:22">
      <c r="B45" s="118" t="s">
        <v>130</v>
      </c>
      <c r="C45" s="209">
        <f>SUM(C41:C42,C31:C33)</f>
        <v>0.69099273312890108</v>
      </c>
      <c r="D45" s="209">
        <f t="shared" ref="D45:K45" si="5">SUM(D41:D42,D31:D33)</f>
        <v>0.54166630583243558</v>
      </c>
      <c r="E45" s="209">
        <f t="shared" si="5"/>
        <v>0.64093508407304767</v>
      </c>
      <c r="F45" s="209">
        <f t="shared" si="5"/>
        <v>0.60499999999999998</v>
      </c>
      <c r="G45" s="209">
        <f t="shared" si="5"/>
        <v>0.499</v>
      </c>
      <c r="H45" s="209">
        <f t="shared" si="5"/>
        <v>0.55899999999999994</v>
      </c>
      <c r="I45" s="209">
        <f t="shared" si="5"/>
        <v>0.59199999999999997</v>
      </c>
      <c r="J45" s="209">
        <f t="shared" si="5"/>
        <v>0.503</v>
      </c>
      <c r="K45" s="209">
        <f t="shared" si="5"/>
        <v>0.54999999999999993</v>
      </c>
    </row>
    <row r="46" spans="2:22">
      <c r="B46" s="118" t="s">
        <v>131</v>
      </c>
      <c r="C46" s="209">
        <f t="shared" ref="C46:K46" si="6">1-C45</f>
        <v>0.30900726687109892</v>
      </c>
      <c r="D46" s="209">
        <f t="shared" si="6"/>
        <v>0.45833369416756442</v>
      </c>
      <c r="E46" s="209">
        <f t="shared" si="6"/>
        <v>0.35906491592695233</v>
      </c>
      <c r="F46" s="209">
        <f t="shared" si="6"/>
        <v>0.39500000000000002</v>
      </c>
      <c r="G46" s="209">
        <f t="shared" si="6"/>
        <v>0.501</v>
      </c>
      <c r="H46" s="209">
        <f t="shared" si="6"/>
        <v>0.44100000000000006</v>
      </c>
      <c r="I46" s="209">
        <f t="shared" si="6"/>
        <v>0.40800000000000003</v>
      </c>
      <c r="J46" s="209">
        <f t="shared" si="6"/>
        <v>0.497</v>
      </c>
      <c r="K46" s="209">
        <f t="shared" si="6"/>
        <v>0.45000000000000007</v>
      </c>
    </row>
    <row r="47" spans="2:22">
      <c r="B47" s="118"/>
    </row>
    <row r="48" spans="2:22">
      <c r="B48" s="118" t="s">
        <v>132</v>
      </c>
      <c r="C48" s="211">
        <v>1</v>
      </c>
      <c r="D48" s="211">
        <v>1</v>
      </c>
      <c r="E48" s="211">
        <v>1</v>
      </c>
      <c r="F48" s="211">
        <v>1</v>
      </c>
      <c r="G48" s="211">
        <v>1</v>
      </c>
      <c r="H48" s="211">
        <v>1</v>
      </c>
      <c r="I48" s="211">
        <v>1</v>
      </c>
      <c r="J48" s="211">
        <v>1</v>
      </c>
      <c r="K48" s="211">
        <v>1</v>
      </c>
    </row>
    <row r="49" spans="2:11">
      <c r="B49" s="118" t="s">
        <v>133</v>
      </c>
      <c r="C49" s="211">
        <f t="shared" ref="C49:K49" si="7">1-C48</f>
        <v>0</v>
      </c>
      <c r="D49" s="211">
        <f t="shared" si="7"/>
        <v>0</v>
      </c>
      <c r="E49" s="211">
        <f t="shared" si="7"/>
        <v>0</v>
      </c>
      <c r="F49" s="211">
        <f t="shared" si="7"/>
        <v>0</v>
      </c>
      <c r="G49" s="211">
        <f t="shared" si="7"/>
        <v>0</v>
      </c>
      <c r="H49" s="211">
        <f t="shared" si="7"/>
        <v>0</v>
      </c>
      <c r="I49" s="211">
        <f t="shared" si="7"/>
        <v>0</v>
      </c>
      <c r="J49" s="211">
        <f t="shared" si="7"/>
        <v>0</v>
      </c>
      <c r="K49" s="211">
        <f t="shared" si="7"/>
        <v>0</v>
      </c>
    </row>
    <row r="50" spans="2:11">
      <c r="B50" s="118"/>
    </row>
    <row r="51" spans="2:11">
      <c r="B51" s="118" t="s">
        <v>132</v>
      </c>
      <c r="C51" s="210">
        <f>C48/C45</f>
        <v>1.4471932222382073</v>
      </c>
      <c r="D51" s="210">
        <f t="shared" ref="D51:K51" si="8">D48/D45</f>
        <v>1.8461550759802103</v>
      </c>
      <c r="E51" s="210">
        <f t="shared" si="8"/>
        <v>1.5602204105369735</v>
      </c>
      <c r="F51" s="210">
        <f t="shared" si="8"/>
        <v>1.6528925619834711</v>
      </c>
      <c r="G51" s="210">
        <f t="shared" si="8"/>
        <v>2.0040080160320639</v>
      </c>
      <c r="H51" s="210">
        <f t="shared" si="8"/>
        <v>1.7889087656529519</v>
      </c>
      <c r="I51" s="210">
        <f t="shared" si="8"/>
        <v>1.6891891891891893</v>
      </c>
      <c r="J51" s="210">
        <f t="shared" si="8"/>
        <v>1.9880715705765408</v>
      </c>
      <c r="K51" s="210">
        <f t="shared" si="8"/>
        <v>1.8181818181818183</v>
      </c>
    </row>
    <row r="52" spans="2:11">
      <c r="B52" s="118" t="s">
        <v>133</v>
      </c>
      <c r="C52" s="210">
        <f t="shared" ref="C52:K52" si="9">C49/C46</f>
        <v>0</v>
      </c>
      <c r="D52" s="210">
        <f t="shared" si="9"/>
        <v>0</v>
      </c>
      <c r="E52" s="210">
        <f t="shared" si="9"/>
        <v>0</v>
      </c>
      <c r="F52" s="210">
        <f t="shared" si="9"/>
        <v>0</v>
      </c>
      <c r="G52" s="210">
        <f t="shared" si="9"/>
        <v>0</v>
      </c>
      <c r="H52" s="210">
        <f t="shared" si="9"/>
        <v>0</v>
      </c>
      <c r="I52" s="210">
        <f t="shared" si="9"/>
        <v>0</v>
      </c>
      <c r="J52" s="210">
        <f t="shared" si="9"/>
        <v>0</v>
      </c>
      <c r="K52" s="210">
        <f t="shared" si="9"/>
        <v>0</v>
      </c>
    </row>
    <row r="54" spans="2:11" s="111" customFormat="1">
      <c r="B54" s="111" t="s">
        <v>134</v>
      </c>
    </row>
    <row r="55" spans="2:11">
      <c r="B55" s="118" t="s">
        <v>52</v>
      </c>
      <c r="C55" s="210">
        <f>C$51</f>
        <v>1.4471932222382073</v>
      </c>
      <c r="D55" s="210">
        <f t="shared" ref="C55:K57" si="10">D$51</f>
        <v>1.8461550759802103</v>
      </c>
      <c r="E55" s="210">
        <f t="shared" si="10"/>
        <v>1.5602204105369735</v>
      </c>
      <c r="F55" s="210">
        <f t="shared" si="10"/>
        <v>1.6528925619834711</v>
      </c>
      <c r="G55" s="210">
        <f t="shared" si="10"/>
        <v>2.0040080160320639</v>
      </c>
      <c r="H55" s="210">
        <f t="shared" si="10"/>
        <v>1.7889087656529519</v>
      </c>
      <c r="I55" s="210">
        <f t="shared" si="10"/>
        <v>1.6891891891891893</v>
      </c>
      <c r="J55" s="210">
        <f t="shared" si="10"/>
        <v>1.9880715705765408</v>
      </c>
      <c r="K55" s="210">
        <f t="shared" si="10"/>
        <v>1.8181818181818183</v>
      </c>
    </row>
    <row r="56" spans="2:11">
      <c r="B56" s="118" t="s">
        <v>54</v>
      </c>
      <c r="C56" s="210">
        <f>C$51</f>
        <v>1.4471932222382073</v>
      </c>
      <c r="D56" s="210">
        <f t="shared" si="10"/>
        <v>1.8461550759802103</v>
      </c>
      <c r="E56" s="210">
        <f t="shared" si="10"/>
        <v>1.5602204105369735</v>
      </c>
      <c r="F56" s="210">
        <f t="shared" si="10"/>
        <v>1.6528925619834711</v>
      </c>
      <c r="G56" s="210">
        <f t="shared" si="10"/>
        <v>2.0040080160320639</v>
      </c>
      <c r="H56" s="210">
        <f t="shared" si="10"/>
        <v>1.7889087656529519</v>
      </c>
      <c r="I56" s="210">
        <f t="shared" si="10"/>
        <v>1.6891891891891893</v>
      </c>
      <c r="J56" s="210">
        <f t="shared" si="10"/>
        <v>1.9880715705765408</v>
      </c>
      <c r="K56" s="210">
        <f t="shared" si="10"/>
        <v>1.8181818181818183</v>
      </c>
    </row>
    <row r="57" spans="2:11">
      <c r="B57" s="118" t="s">
        <v>56</v>
      </c>
      <c r="C57" s="210">
        <f t="shared" si="10"/>
        <v>1.4471932222382073</v>
      </c>
      <c r="D57" s="210">
        <f t="shared" si="10"/>
        <v>1.8461550759802103</v>
      </c>
      <c r="E57" s="210">
        <f t="shared" si="10"/>
        <v>1.5602204105369735</v>
      </c>
      <c r="F57" s="210">
        <f t="shared" si="10"/>
        <v>1.6528925619834711</v>
      </c>
      <c r="G57" s="210">
        <f t="shared" si="10"/>
        <v>2.0040080160320639</v>
      </c>
      <c r="H57" s="210">
        <f t="shared" si="10"/>
        <v>1.7889087656529519</v>
      </c>
      <c r="I57" s="210">
        <f t="shared" si="10"/>
        <v>1.6891891891891893</v>
      </c>
      <c r="J57" s="210">
        <f t="shared" si="10"/>
        <v>1.9880715705765408</v>
      </c>
      <c r="K57" s="210">
        <f t="shared" si="10"/>
        <v>1.8181818181818183</v>
      </c>
    </row>
    <row r="58" spans="2:11">
      <c r="B58" s="118" t="s">
        <v>58</v>
      </c>
      <c r="C58" s="210">
        <f t="shared" ref="C58:K64" si="11">C$52</f>
        <v>0</v>
      </c>
      <c r="D58" s="210">
        <f t="shared" si="11"/>
        <v>0</v>
      </c>
      <c r="E58" s="210">
        <f t="shared" si="11"/>
        <v>0</v>
      </c>
      <c r="F58" s="210">
        <f t="shared" si="11"/>
        <v>0</v>
      </c>
      <c r="G58" s="210">
        <f t="shared" si="11"/>
        <v>0</v>
      </c>
      <c r="H58" s="210">
        <f t="shared" si="11"/>
        <v>0</v>
      </c>
      <c r="I58" s="210">
        <f t="shared" si="11"/>
        <v>0</v>
      </c>
      <c r="J58" s="210">
        <f t="shared" si="11"/>
        <v>0</v>
      </c>
      <c r="K58" s="210">
        <f t="shared" si="11"/>
        <v>0</v>
      </c>
    </row>
    <row r="59" spans="2:11">
      <c r="B59" s="118" t="s">
        <v>59</v>
      </c>
      <c r="C59" s="210">
        <f t="shared" si="11"/>
        <v>0</v>
      </c>
      <c r="D59" s="210">
        <f t="shared" si="11"/>
        <v>0</v>
      </c>
      <c r="E59" s="210">
        <f t="shared" si="11"/>
        <v>0</v>
      </c>
      <c r="F59" s="210">
        <f t="shared" si="11"/>
        <v>0</v>
      </c>
      <c r="G59" s="210">
        <f t="shared" si="11"/>
        <v>0</v>
      </c>
      <c r="H59" s="210">
        <f t="shared" si="11"/>
        <v>0</v>
      </c>
      <c r="I59" s="210">
        <f t="shared" si="11"/>
        <v>0</v>
      </c>
      <c r="J59" s="210">
        <f t="shared" si="11"/>
        <v>0</v>
      </c>
      <c r="K59" s="210">
        <f t="shared" si="11"/>
        <v>0</v>
      </c>
    </row>
    <row r="60" spans="2:11">
      <c r="B60" s="118" t="s">
        <v>60</v>
      </c>
      <c r="C60" s="210">
        <f t="shared" si="11"/>
        <v>0</v>
      </c>
      <c r="D60" s="210">
        <f t="shared" si="11"/>
        <v>0</v>
      </c>
      <c r="E60" s="210">
        <f t="shared" si="11"/>
        <v>0</v>
      </c>
      <c r="F60" s="210">
        <f t="shared" si="11"/>
        <v>0</v>
      </c>
      <c r="G60" s="210">
        <f t="shared" si="11"/>
        <v>0</v>
      </c>
      <c r="H60" s="210">
        <f t="shared" si="11"/>
        <v>0</v>
      </c>
      <c r="I60" s="210">
        <f t="shared" si="11"/>
        <v>0</v>
      </c>
      <c r="J60" s="210">
        <f t="shared" si="11"/>
        <v>0</v>
      </c>
      <c r="K60" s="210">
        <f t="shared" si="11"/>
        <v>0</v>
      </c>
    </row>
    <row r="61" spans="2:11">
      <c r="B61" s="118" t="s">
        <v>61</v>
      </c>
      <c r="C61" s="210">
        <f t="shared" si="11"/>
        <v>0</v>
      </c>
      <c r="D61" s="210">
        <f t="shared" si="11"/>
        <v>0</v>
      </c>
      <c r="E61" s="210">
        <f t="shared" si="11"/>
        <v>0</v>
      </c>
      <c r="F61" s="210">
        <f t="shared" si="11"/>
        <v>0</v>
      </c>
      <c r="G61" s="210">
        <f t="shared" si="11"/>
        <v>0</v>
      </c>
      <c r="H61" s="210">
        <f t="shared" si="11"/>
        <v>0</v>
      </c>
      <c r="I61" s="210">
        <f t="shared" si="11"/>
        <v>0</v>
      </c>
      <c r="J61" s="210">
        <f t="shared" si="11"/>
        <v>0</v>
      </c>
      <c r="K61" s="210">
        <f t="shared" si="11"/>
        <v>0</v>
      </c>
    </row>
    <row r="62" spans="2:11">
      <c r="B62" s="118" t="s">
        <v>62</v>
      </c>
      <c r="C62" s="210">
        <f t="shared" si="11"/>
        <v>0</v>
      </c>
      <c r="D62" s="210">
        <f t="shared" si="11"/>
        <v>0</v>
      </c>
      <c r="E62" s="210">
        <f t="shared" si="11"/>
        <v>0</v>
      </c>
      <c r="F62" s="210">
        <f t="shared" si="11"/>
        <v>0</v>
      </c>
      <c r="G62" s="210">
        <f t="shared" si="11"/>
        <v>0</v>
      </c>
      <c r="H62" s="210">
        <f t="shared" si="11"/>
        <v>0</v>
      </c>
      <c r="I62" s="210">
        <f t="shared" si="11"/>
        <v>0</v>
      </c>
      <c r="J62" s="210">
        <f t="shared" si="11"/>
        <v>0</v>
      </c>
      <c r="K62" s="210">
        <f t="shared" si="11"/>
        <v>0</v>
      </c>
    </row>
    <row r="63" spans="2:11">
      <c r="B63" s="118" t="s">
        <v>63</v>
      </c>
      <c r="C63" s="210">
        <f t="shared" si="11"/>
        <v>0</v>
      </c>
      <c r="D63" s="210">
        <f t="shared" si="11"/>
        <v>0</v>
      </c>
      <c r="E63" s="210">
        <f t="shared" si="11"/>
        <v>0</v>
      </c>
      <c r="F63" s="210">
        <f t="shared" si="11"/>
        <v>0</v>
      </c>
      <c r="G63" s="210">
        <f t="shared" si="11"/>
        <v>0</v>
      </c>
      <c r="H63" s="210">
        <f t="shared" si="11"/>
        <v>0</v>
      </c>
      <c r="I63" s="210">
        <f t="shared" si="11"/>
        <v>0</v>
      </c>
      <c r="J63" s="210">
        <f t="shared" si="11"/>
        <v>0</v>
      </c>
      <c r="K63" s="210">
        <f t="shared" si="11"/>
        <v>0</v>
      </c>
    </row>
    <row r="64" spans="2:11">
      <c r="B64" s="118" t="s">
        <v>64</v>
      </c>
      <c r="C64" s="210">
        <f t="shared" si="11"/>
        <v>0</v>
      </c>
      <c r="D64" s="210">
        <f t="shared" si="11"/>
        <v>0</v>
      </c>
      <c r="E64" s="210">
        <f t="shared" si="11"/>
        <v>0</v>
      </c>
      <c r="F64" s="210">
        <f t="shared" si="11"/>
        <v>0</v>
      </c>
      <c r="G64" s="210">
        <f t="shared" si="11"/>
        <v>0</v>
      </c>
      <c r="H64" s="210">
        <f t="shared" si="11"/>
        <v>0</v>
      </c>
      <c r="I64" s="210">
        <f t="shared" si="11"/>
        <v>0</v>
      </c>
      <c r="J64" s="210">
        <f t="shared" si="11"/>
        <v>0</v>
      </c>
      <c r="K64" s="210">
        <f t="shared" si="11"/>
        <v>0</v>
      </c>
    </row>
    <row r="65" spans="2:11">
      <c r="B65" s="118" t="s">
        <v>65</v>
      </c>
      <c r="C65" s="210">
        <f t="shared" ref="C65:K66" si="12">C$51</f>
        <v>1.4471932222382073</v>
      </c>
      <c r="D65" s="210">
        <f t="shared" si="12"/>
        <v>1.8461550759802103</v>
      </c>
      <c r="E65" s="210">
        <f t="shared" si="12"/>
        <v>1.5602204105369735</v>
      </c>
      <c r="F65" s="210">
        <f t="shared" si="12"/>
        <v>1.6528925619834711</v>
      </c>
      <c r="G65" s="210">
        <f t="shared" si="12"/>
        <v>2.0040080160320639</v>
      </c>
      <c r="H65" s="210">
        <f t="shared" si="12"/>
        <v>1.7889087656529519</v>
      </c>
      <c r="I65" s="210">
        <f t="shared" si="12"/>
        <v>1.6891891891891893</v>
      </c>
      <c r="J65" s="210">
        <f t="shared" si="12"/>
        <v>1.9880715705765408</v>
      </c>
      <c r="K65" s="210">
        <f t="shared" si="12"/>
        <v>1.8181818181818183</v>
      </c>
    </row>
    <row r="66" spans="2:11">
      <c r="B66" s="118" t="s">
        <v>66</v>
      </c>
      <c r="C66" s="210">
        <f t="shared" si="12"/>
        <v>1.4471932222382073</v>
      </c>
      <c r="D66" s="210">
        <f t="shared" si="12"/>
        <v>1.8461550759802103</v>
      </c>
      <c r="E66" s="210">
        <f t="shared" si="12"/>
        <v>1.5602204105369735</v>
      </c>
      <c r="F66" s="210">
        <f t="shared" si="12"/>
        <v>1.6528925619834711</v>
      </c>
      <c r="G66" s="210">
        <f t="shared" si="12"/>
        <v>2.0040080160320639</v>
      </c>
      <c r="H66" s="210">
        <f t="shared" si="12"/>
        <v>1.7889087656529519</v>
      </c>
      <c r="I66" s="210">
        <f t="shared" si="12"/>
        <v>1.6891891891891893</v>
      </c>
      <c r="J66" s="210">
        <f t="shared" si="12"/>
        <v>1.9880715705765408</v>
      </c>
      <c r="K66" s="210">
        <f t="shared" si="12"/>
        <v>1.8181818181818183</v>
      </c>
    </row>
    <row r="67" spans="2:11">
      <c r="B67" s="118"/>
      <c r="C67" s="119"/>
      <c r="D67" s="119"/>
      <c r="E67" s="119"/>
      <c r="F67" s="119"/>
      <c r="G67" s="119"/>
      <c r="H67" s="119"/>
      <c r="I67" s="119"/>
      <c r="J67" s="119"/>
      <c r="K67" s="119"/>
    </row>
    <row r="68" spans="2:11">
      <c r="B68" s="248" t="s">
        <v>100</v>
      </c>
      <c r="C68" s="231" t="str">
        <f>_xlfn.CONCAT($C$29,"-",C30)</f>
        <v>PG&amp;E-Residential</v>
      </c>
      <c r="D68" s="231" t="str">
        <f>_xlfn.CONCAT($C$29,"-",D30)</f>
        <v>PG&amp;E-Commercial</v>
      </c>
      <c r="E68" s="231" t="str">
        <f>_xlfn.CONCAT($C$29,"-",E30)</f>
        <v>PG&amp;E-Total Core</v>
      </c>
      <c r="F68" s="231" t="str">
        <f>_xlfn.CONCAT($F$29,"-",F30)</f>
        <v>SoCalGas-Residential</v>
      </c>
      <c r="G68" s="231" t="str">
        <f>_xlfn.CONCAT($F$29,"-",G30)</f>
        <v>SoCalGas-Commercial</v>
      </c>
      <c r="H68" s="231" t="str">
        <f>_xlfn.CONCAT($F$29,"-",H30)</f>
        <v>SoCalGas-Total Core</v>
      </c>
      <c r="I68" s="231" t="str">
        <f>_xlfn.CONCAT($I$29,"-",I30)</f>
        <v>SDG&amp;E-Residential</v>
      </c>
      <c r="J68" s="231" t="str">
        <f t="shared" ref="J68:K68" si="13">_xlfn.CONCAT($I$29,"-",J30)</f>
        <v>SDG&amp;E-Commercial</v>
      </c>
      <c r="K68" s="231" t="str">
        <f t="shared" si="13"/>
        <v>SDG&amp;E-Total Core</v>
      </c>
    </row>
  </sheetData>
  <mergeCells count="9">
    <mergeCell ref="C29:E29"/>
    <mergeCell ref="F29:H29"/>
    <mergeCell ref="I29:K29"/>
    <mergeCell ref="B5:B7"/>
    <mergeCell ref="B8:B10"/>
    <mergeCell ref="B11:B13"/>
    <mergeCell ref="B16:B18"/>
    <mergeCell ref="B19:B21"/>
    <mergeCell ref="B22:B24"/>
  </mergeCells>
  <phoneticPr fontId="6" type="noConversion"/>
  <pageMargins left="0.75" right="0.75" top="1" bottom="1" header="0.5" footer="0.5"/>
  <pageSetup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8BA7-6735-479B-A6BB-2A7CAFED13C3}">
  <sheetPr codeName="Sheet15">
    <tabColor theme="5"/>
  </sheetPr>
  <dimension ref="A2:AB27"/>
  <sheetViews>
    <sheetView workbookViewId="0">
      <selection activeCell="D7" sqref="D7"/>
    </sheetView>
  </sheetViews>
  <sheetFormatPr baseColWidth="10" defaultColWidth="8.3984375" defaultRowHeight="15"/>
  <cols>
    <col min="1" max="1" width="8.59765625" style="121" customWidth="1"/>
    <col min="2" max="2" width="57.3984375" style="121" bestFit="1" customWidth="1"/>
    <col min="3" max="3" width="28.19921875" style="121" customWidth="1"/>
    <col min="4" max="5" width="22.3984375" style="121" customWidth="1"/>
    <col min="6" max="6" width="85.3984375" style="121" customWidth="1"/>
    <col min="7" max="16384" width="8.3984375" style="121"/>
  </cols>
  <sheetData>
    <row r="2" spans="1:28">
      <c r="A2" s="234"/>
      <c r="B2" s="234" t="s">
        <v>135</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row>
    <row r="4" spans="1:28">
      <c r="B4" s="234" t="s">
        <v>136</v>
      </c>
      <c r="C4" s="274" t="s">
        <v>137</v>
      </c>
      <c r="D4" s="234" t="s">
        <v>138</v>
      </c>
      <c r="E4" s="234" t="s">
        <v>139</v>
      </c>
      <c r="F4" s="234"/>
    </row>
    <row r="5" spans="1:28">
      <c r="B5" s="234" t="s">
        <v>140</v>
      </c>
      <c r="C5" s="274"/>
      <c r="D5" s="234" t="s">
        <v>141</v>
      </c>
      <c r="E5" s="234" t="s">
        <v>142</v>
      </c>
      <c r="F5" s="234" t="s">
        <v>143</v>
      </c>
    </row>
    <row r="6" spans="1:28" ht="48">
      <c r="B6" s="47" t="s">
        <v>144</v>
      </c>
      <c r="C6" s="202">
        <f>IF('User Dashboard'!$C$10="TRC",'Methane Leakage'!D6,'Methane Leakage'!E6)*$C$18/$C$16</f>
        <v>5.57E-2</v>
      </c>
      <c r="D6" s="202">
        <f>D7*$C$23</f>
        <v>5.57E-2</v>
      </c>
      <c r="E6" s="202">
        <f>E7*$C$23</f>
        <v>0.20985401459854011</v>
      </c>
      <c r="F6" s="3" t="s">
        <v>145</v>
      </c>
    </row>
    <row r="7" spans="1:28">
      <c r="B7" s="47" t="s">
        <v>146</v>
      </c>
      <c r="C7" s="202">
        <f>IF('User Dashboard'!$C$10="TRC",'Methane Leakage'!D7,'Methane Leakage'!E7)</f>
        <v>6.104720000000001E-3</v>
      </c>
      <c r="D7" s="203">
        <v>6.104720000000001E-3</v>
      </c>
      <c r="E7" s="203">
        <v>2.3E-2</v>
      </c>
      <c r="F7" s="3"/>
    </row>
    <row r="9" spans="1:28">
      <c r="B9" s="2" t="s">
        <v>147</v>
      </c>
      <c r="C9" s="202">
        <f>C10*C23</f>
        <v>3.786496350364963E-2</v>
      </c>
      <c r="D9" s="87"/>
      <c r="E9" s="86"/>
      <c r="F9" s="86" t="s">
        <v>148</v>
      </c>
    </row>
    <row r="10" spans="1:28">
      <c r="B10" s="122" t="s">
        <v>149</v>
      </c>
      <c r="C10" s="203">
        <v>4.15E-3</v>
      </c>
      <c r="D10" s="123"/>
      <c r="E10" s="124"/>
      <c r="F10" s="125"/>
    </row>
    <row r="13" spans="1:28">
      <c r="B13" s="234" t="s">
        <v>150</v>
      </c>
      <c r="C13" s="256" t="s">
        <v>151</v>
      </c>
      <c r="D13" s="255" t="s">
        <v>431</v>
      </c>
    </row>
    <row r="15" spans="1:28">
      <c r="B15" s="273" t="s">
        <v>152</v>
      </c>
      <c r="C15" s="273"/>
    </row>
    <row r="16" spans="1:28">
      <c r="B16" s="84" t="s">
        <v>151</v>
      </c>
      <c r="C16" s="206">
        <v>25</v>
      </c>
    </row>
    <row r="17" spans="2:5">
      <c r="B17" s="84" t="s">
        <v>153</v>
      </c>
      <c r="C17" s="206">
        <v>72</v>
      </c>
    </row>
    <row r="18" spans="2:5">
      <c r="B18" s="84" t="s">
        <v>154</v>
      </c>
      <c r="C18" s="205">
        <f>INDEX(C16:C17,MATCH(C13,B16:B17,0))</f>
        <v>25</v>
      </c>
      <c r="D18" s="4"/>
      <c r="E18" s="4"/>
    </row>
    <row r="20" spans="2:5">
      <c r="B20" s="273" t="s">
        <v>155</v>
      </c>
      <c r="C20" s="273"/>
    </row>
    <row r="21" spans="2:5">
      <c r="B21" s="85" t="s">
        <v>156</v>
      </c>
      <c r="C21" s="206">
        <v>25</v>
      </c>
    </row>
    <row r="22" spans="2:5">
      <c r="B22" s="85" t="s">
        <v>157</v>
      </c>
      <c r="C22" s="206">
        <v>2.74</v>
      </c>
    </row>
    <row r="23" spans="2:5">
      <c r="B23" s="85" t="s">
        <v>158</v>
      </c>
      <c r="C23" s="204">
        <f>C21/C22</f>
        <v>9.1240875912408743</v>
      </c>
    </row>
    <row r="27" spans="2:5">
      <c r="C27" s="126"/>
      <c r="D27" s="126"/>
      <c r="E27" s="126"/>
    </row>
  </sheetData>
  <mergeCells count="3">
    <mergeCell ref="B15:C15"/>
    <mergeCell ref="C4:C5"/>
    <mergeCell ref="B20:C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sheetPr>
  <dimension ref="A2:AB24"/>
  <sheetViews>
    <sheetView topLeftCell="A7" workbookViewId="0">
      <selection activeCell="J28" sqref="J28"/>
    </sheetView>
  </sheetViews>
  <sheetFormatPr baseColWidth="10" defaultColWidth="9.3984375" defaultRowHeight="15"/>
  <cols>
    <col min="1" max="1" width="8.59765625" style="51" customWidth="1"/>
    <col min="2" max="2" width="33.3984375" style="51" customWidth="1"/>
    <col min="3" max="3" width="12.3984375" style="51" customWidth="1"/>
    <col min="4" max="4" width="11.3984375" style="51" customWidth="1"/>
    <col min="5" max="5" width="11" style="51" customWidth="1"/>
    <col min="6" max="6" width="12" style="51" customWidth="1"/>
    <col min="7" max="9" width="9.3984375" style="51"/>
    <col min="10" max="10" width="33.3984375" style="51" customWidth="1"/>
    <col min="11" max="16384" width="9.3984375" style="51"/>
  </cols>
  <sheetData>
    <row r="2" spans="1:28">
      <c r="A2" s="234"/>
      <c r="B2" s="234" t="s">
        <v>159</v>
      </c>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row>
    <row r="4" spans="1:28">
      <c r="B4" s="234"/>
      <c r="C4" s="234" t="s">
        <v>124</v>
      </c>
      <c r="D4" s="234" t="s">
        <v>18</v>
      </c>
      <c r="E4" s="234" t="s">
        <v>127</v>
      </c>
      <c r="G4" s="19"/>
      <c r="H4" s="19"/>
    </row>
    <row r="5" spans="1:28">
      <c r="B5" s="127" t="s">
        <v>160</v>
      </c>
      <c r="C5" s="203">
        <v>0</v>
      </c>
      <c r="D5" s="203">
        <v>3.8999999999999998E-3</v>
      </c>
      <c r="E5" s="203">
        <v>4.0000000000000001E-3</v>
      </c>
      <c r="G5" s="19"/>
      <c r="H5" s="20"/>
    </row>
    <row r="6" spans="1:28">
      <c r="B6" s="127" t="s">
        <v>161</v>
      </c>
      <c r="C6" s="203">
        <v>2.41E-2</v>
      </c>
      <c r="D6" s="203">
        <v>1.37E-2</v>
      </c>
      <c r="E6" s="203">
        <v>0.01</v>
      </c>
      <c r="G6" s="19"/>
      <c r="H6" s="19"/>
    </row>
    <row r="7" spans="1:28">
      <c r="B7" s="128" t="s">
        <v>162</v>
      </c>
    </row>
    <row r="9" spans="1:28">
      <c r="A9" s="234"/>
      <c r="B9" s="234" t="s">
        <v>163</v>
      </c>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row>
    <row r="11" spans="1:28">
      <c r="B11" s="47" t="s">
        <v>164</v>
      </c>
      <c r="C11" s="203">
        <v>0.02</v>
      </c>
    </row>
    <row r="12" spans="1:28">
      <c r="B12"/>
      <c r="C12"/>
    </row>
    <row r="13" spans="1:28">
      <c r="B13" s="273" t="s">
        <v>165</v>
      </c>
      <c r="C13" s="273"/>
    </row>
    <row r="14" spans="1:28">
      <c r="B14" s="48" t="s">
        <v>124</v>
      </c>
      <c r="C14" s="203">
        <v>7.6100000000000001E-2</v>
      </c>
    </row>
    <row r="15" spans="1:28">
      <c r="B15" s="49" t="s">
        <v>18</v>
      </c>
      <c r="C15" s="203">
        <v>7.5200000000000003E-2</v>
      </c>
    </row>
    <row r="16" spans="1:28">
      <c r="B16" s="50" t="s">
        <v>127</v>
      </c>
      <c r="C16" s="203">
        <v>7.4099999999999999E-2</v>
      </c>
    </row>
    <row r="18" spans="1:28">
      <c r="B18" s="234"/>
      <c r="C18" s="234" t="s">
        <v>166</v>
      </c>
      <c r="D18" s="234" t="s">
        <v>26</v>
      </c>
    </row>
    <row r="19" spans="1:28">
      <c r="B19" s="47" t="s">
        <v>167</v>
      </c>
      <c r="C19" s="129"/>
      <c r="D19" s="203">
        <v>0.03</v>
      </c>
    </row>
    <row r="20" spans="1:28">
      <c r="B20" s="47" t="s">
        <v>35</v>
      </c>
      <c r="C20" s="201">
        <f>AVERAGE(C14:C16)</f>
        <v>7.513333333333333E-2</v>
      </c>
      <c r="D20" s="201">
        <f>(1+C11)*(1+D19)-1</f>
        <v>5.0599999999999978E-2</v>
      </c>
    </row>
    <row r="22" spans="1:28">
      <c r="A22" s="234"/>
      <c r="B22" s="234" t="s">
        <v>168</v>
      </c>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c r="AB22" s="234"/>
    </row>
    <row r="24" spans="1:28">
      <c r="B24" s="130" t="s">
        <v>169</v>
      </c>
      <c r="C24" s="215">
        <v>10</v>
      </c>
    </row>
  </sheetData>
  <mergeCells count="1">
    <mergeCell ref="B13:C13"/>
  </mergeCells>
  <phoneticPr fontId="17"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0AAD-68A9-4862-AF18-628B9F6577A2}">
  <sheetPr codeName="Sheet9">
    <tabColor theme="5"/>
  </sheetPr>
  <dimension ref="A2:M60"/>
  <sheetViews>
    <sheetView showGridLines="0" topLeftCell="A28" zoomScale="80" zoomScaleNormal="80" workbookViewId="0">
      <selection activeCell="H47" sqref="H47"/>
    </sheetView>
  </sheetViews>
  <sheetFormatPr baseColWidth="10" defaultColWidth="9.3984375" defaultRowHeight="15"/>
  <cols>
    <col min="1" max="1" width="8.59765625" customWidth="1"/>
    <col min="2" max="2" width="27.3984375" style="19" customWidth="1"/>
    <col min="3" max="8" width="28.3984375" style="19" customWidth="1"/>
    <col min="9" max="9" width="21.3984375" style="19" customWidth="1"/>
    <col min="10" max="10" width="26" style="19" customWidth="1"/>
    <col min="11" max="11" width="17.3984375" customWidth="1"/>
    <col min="12" max="12" width="18" customWidth="1"/>
    <col min="13" max="13" width="31.3984375" customWidth="1"/>
  </cols>
  <sheetData>
    <row r="2" spans="1:13" ht="13">
      <c r="A2" s="234"/>
      <c r="B2" s="234" t="s">
        <v>170</v>
      </c>
      <c r="C2" s="234"/>
      <c r="D2" s="234"/>
      <c r="E2" s="234"/>
      <c r="F2" s="234"/>
      <c r="G2" s="234"/>
      <c r="H2" s="234"/>
      <c r="I2" s="234"/>
      <c r="J2" s="234"/>
      <c r="K2" s="234"/>
      <c r="L2" s="234"/>
      <c r="M2" s="234"/>
    </row>
    <row r="3" spans="1:13">
      <c r="B3" s="12"/>
      <c r="C3" s="131"/>
      <c r="D3" s="131"/>
      <c r="E3" s="131"/>
      <c r="F3" s="131"/>
      <c r="G3" s="131"/>
      <c r="H3" s="131"/>
      <c r="I3" s="131"/>
      <c r="J3" s="131"/>
    </row>
    <row r="4" spans="1:13">
      <c r="B4" s="234" t="s">
        <v>171</v>
      </c>
      <c r="C4" s="56">
        <v>2021</v>
      </c>
    </row>
    <row r="5" spans="1:13">
      <c r="B5" s="234" t="s">
        <v>37</v>
      </c>
      <c r="C5" s="210">
        <f>'Other Inputs'!$C$11</f>
        <v>0.02</v>
      </c>
    </row>
    <row r="7" spans="1:13" s="133" customFormat="1">
      <c r="B7" s="235" t="s">
        <v>172</v>
      </c>
      <c r="C7" s="235" t="s">
        <v>17</v>
      </c>
      <c r="D7" s="235" t="s">
        <v>173</v>
      </c>
      <c r="E7" s="235" t="s">
        <v>174</v>
      </c>
      <c r="F7" s="235" t="s">
        <v>175</v>
      </c>
      <c r="G7" s="235" t="s">
        <v>176</v>
      </c>
      <c r="H7" s="235" t="s">
        <v>177</v>
      </c>
      <c r="I7" s="132"/>
    </row>
    <row r="8" spans="1:13">
      <c r="B8" s="54" t="s">
        <v>178</v>
      </c>
      <c r="C8" s="54" t="s">
        <v>124</v>
      </c>
      <c r="D8" s="54" t="s">
        <v>179</v>
      </c>
      <c r="E8" s="54" t="s">
        <v>180</v>
      </c>
      <c r="F8" s="54">
        <v>1</v>
      </c>
      <c r="G8" s="54">
        <v>1</v>
      </c>
      <c r="H8" s="54">
        <v>1</v>
      </c>
      <c r="J8"/>
    </row>
    <row r="9" spans="1:13">
      <c r="B9" s="55" t="s">
        <v>181</v>
      </c>
      <c r="C9" s="55" t="s">
        <v>18</v>
      </c>
      <c r="D9" s="54" t="s">
        <v>179</v>
      </c>
      <c r="E9" s="54" t="s">
        <v>180</v>
      </c>
      <c r="F9" s="55">
        <v>1</v>
      </c>
      <c r="G9" s="54">
        <v>1</v>
      </c>
      <c r="H9" s="54">
        <v>1</v>
      </c>
      <c r="J9"/>
    </row>
    <row r="10" spans="1:13">
      <c r="B10" s="55" t="s">
        <v>182</v>
      </c>
      <c r="C10" s="55" t="s">
        <v>127</v>
      </c>
      <c r="D10" s="54" t="s">
        <v>179</v>
      </c>
      <c r="E10" s="54" t="s">
        <v>180</v>
      </c>
      <c r="F10" s="55">
        <v>1</v>
      </c>
      <c r="G10" s="54">
        <v>1</v>
      </c>
      <c r="H10" s="54">
        <v>1</v>
      </c>
      <c r="J10"/>
    </row>
    <row r="11" spans="1:13">
      <c r="B11" s="55"/>
      <c r="C11" s="55"/>
      <c r="D11" s="55"/>
      <c r="E11" s="55"/>
      <c r="F11" s="55"/>
      <c r="G11" s="55"/>
      <c r="H11" s="55"/>
      <c r="J11"/>
    </row>
    <row r="12" spans="1:13">
      <c r="B12" s="55"/>
      <c r="C12" s="55"/>
      <c r="D12" s="55"/>
      <c r="E12" s="55"/>
      <c r="F12" s="55"/>
      <c r="G12" s="55"/>
      <c r="H12" s="55"/>
      <c r="J12"/>
    </row>
    <row r="13" spans="1:13">
      <c r="B13" s="55"/>
      <c r="C13" s="55"/>
      <c r="D13" s="55"/>
      <c r="E13" s="55"/>
      <c r="F13" s="55"/>
      <c r="G13" s="55"/>
      <c r="H13" s="55"/>
      <c r="J13"/>
    </row>
    <row r="14" spans="1:13">
      <c r="B14" s="55"/>
      <c r="C14" s="55"/>
      <c r="D14" s="55"/>
      <c r="E14" s="55"/>
      <c r="F14" s="55"/>
      <c r="G14" s="55"/>
      <c r="H14" s="55"/>
      <c r="J14"/>
    </row>
    <row r="15" spans="1:13">
      <c r="B15" s="55"/>
      <c r="C15" s="55"/>
      <c r="D15" s="55"/>
      <c r="E15" s="55"/>
      <c r="F15" s="55"/>
      <c r="G15" s="55"/>
      <c r="H15" s="55"/>
      <c r="J15"/>
    </row>
    <row r="16" spans="1:13">
      <c r="B16" s="55"/>
      <c r="C16" s="55"/>
      <c r="D16" s="55"/>
      <c r="E16" s="55"/>
      <c r="F16" s="55"/>
      <c r="G16" s="55"/>
      <c r="H16" s="55"/>
      <c r="J16"/>
    </row>
    <row r="17" spans="1:13">
      <c r="B17" s="55"/>
      <c r="C17" s="55"/>
      <c r="D17" s="55"/>
      <c r="E17" s="55"/>
      <c r="F17" s="55"/>
      <c r="G17" s="55"/>
      <c r="H17" s="55"/>
      <c r="J17"/>
    </row>
    <row r="19" spans="1:13" ht="13">
      <c r="A19" s="234"/>
      <c r="B19" s="234" t="s">
        <v>183</v>
      </c>
      <c r="C19" s="234"/>
      <c r="D19" s="234"/>
      <c r="E19" s="234"/>
      <c r="F19" s="234"/>
      <c r="G19" s="234"/>
      <c r="H19" s="234"/>
      <c r="I19" s="234"/>
      <c r="J19" s="234"/>
      <c r="K19" s="234"/>
      <c r="L19" s="234"/>
      <c r="M19" s="234"/>
    </row>
    <row r="21" spans="1:13" s="134" customFormat="1" ht="28">
      <c r="B21" s="234" t="s">
        <v>172</v>
      </c>
      <c r="C21" s="235" t="str">
        <f>"Total Avoided Mainline Extension Costs ($" &amp;$C$4 &amp; ")"</f>
        <v>Total Avoided Mainline Extension Costs ($2021)</v>
      </c>
      <c r="D21" s="235" t="str">
        <f>"Total Avoided Service Extension Costs ($" &amp;$C$4 &amp; ")"</f>
        <v>Total Avoided Service Extension Costs ($2021)</v>
      </c>
      <c r="E21" s="235" t="str">
        <f>"Total Avoided Meter Costs ($" &amp;$C$4 &amp; ")"</f>
        <v>Total Avoided Meter Costs ($2021)</v>
      </c>
      <c r="F21" s="235" t="str">
        <f>"Total Avoided Gas Infrastructure Costs ($" &amp;$C$4 &amp; ")"</f>
        <v>Total Avoided Gas Infrastructure Costs ($2021)</v>
      </c>
      <c r="G21" s="42" t="s">
        <v>184</v>
      </c>
    </row>
    <row r="22" spans="1:13">
      <c r="B22" s="239" t="str">
        <f t="shared" ref="B22:B31" si="0">IF(B8="", "", B8)</f>
        <v>Example_Project_Name_PGE</v>
      </c>
      <c r="C22" s="240" cm="1">
        <f t="array" ref="C22">IFERROR(INDEX($D$39:$F$42, MATCH(1, ($D8 = $B$39:$B$42)*($E8=$C$39:$C$42), 0), MATCH($C8, $D$38:$F$38, 0))*(1+$C$5)^($C$4-$G22), 0)*$F8</f>
        <v>22.106881968473665</v>
      </c>
      <c r="D22" s="240">
        <f t="shared" ref="D22:D31" si="1">IFERROR(INDEX($D$47:$F$48, MATCH($D8, $B$47:$B$48, 0), MATCH($C8, $D$46:$F$46, 0)) *(1+$C$5)^($C$4-$G22), 0)*$G8</f>
        <v>74.971164936562857</v>
      </c>
      <c r="E22" s="240" cm="1">
        <f t="array" ref="E22">IFERROR(INDEX($D$52:$F$59, MATCH(1, ($D8 = $B$52:$B$59)*($E8=$C$52:$C$59), 0), MATCH($C8, $D$51:$F$51, 0))*(1+$C$5)^($C$4-$G22), 0)*$H8</f>
        <v>559.40023068050755</v>
      </c>
      <c r="F22" s="240">
        <f>SUM($C22:$E22)</f>
        <v>656.47827758554411</v>
      </c>
      <c r="G22" s="43">
        <f t="shared" ref="G22:G31" si="2">IFERROR(INDEX($D$35:$F$35, MATCH($C8, $D$38:$F$38, 0)), "")</f>
        <v>2023</v>
      </c>
      <c r="H22"/>
      <c r="I22"/>
      <c r="J22"/>
    </row>
    <row r="23" spans="1:13">
      <c r="B23" s="239" t="str">
        <f t="shared" si="0"/>
        <v>Example_Project_Name_SCG</v>
      </c>
      <c r="C23" s="240" cm="1">
        <f t="array" ref="C23">IFERROR(INDEX($D$39:$F$42, MATCH(1, ($D9 = $B$39:$B$42)*($E9=$C$39:$C$42), 0), MATCH($C9, $D$38:$F$38, 0))*(1+$C$5)^($C$4-$G23), 0)*$F9</f>
        <v>28.639208206821941</v>
      </c>
      <c r="D23" s="240">
        <f t="shared" si="1"/>
        <v>9385.3456830033574</v>
      </c>
      <c r="E23" s="240" cm="1">
        <f t="array" ref="E23">IFERROR(INDEX($D$52:$F$59, MATCH(1, ($D9 = $B$52:$B$59)*($E9=$C$52:$C$59), 0), MATCH($C9, $D$51:$F$51, 0))*(1+$C$5)^($C$4-$G23), 0)*$H9</f>
        <v>606.04259947339335</v>
      </c>
      <c r="F23" s="240">
        <f t="shared" ref="F23:F31" si="3">SUM($C23:$E23)</f>
        <v>10020.027490683573</v>
      </c>
      <c r="G23" s="43">
        <f t="shared" si="2"/>
        <v>2025</v>
      </c>
      <c r="H23"/>
      <c r="I23"/>
      <c r="J23"/>
    </row>
    <row r="24" spans="1:13">
      <c r="B24" s="239" t="str">
        <f t="shared" si="0"/>
        <v>Example_Project_Name_SDGE</v>
      </c>
      <c r="C24" s="240" cm="1">
        <f t="array" ref="C24">IFERROR(INDEX($D$39:$F$42, MATCH(1, ($D10 = $B$39:$B$42)*($E10=$C$39:$C$42), 0), MATCH($C10, $D$38:$F$38, 0))*(1+$C$5)^($C$4-$G24), 0)*$F10</f>
        <v>87.76531547251885</v>
      </c>
      <c r="D24" s="240">
        <f t="shared" si="1"/>
        <v>4979.5268462829117</v>
      </c>
      <c r="E24" s="240" cm="1">
        <f t="array" ref="E24">IFERROR(INDEX($D$52:$F$59, MATCH(1, ($D10 = $B$52:$B$59)*($E10=$C$52:$C$59), 0), MATCH($C10, $D$51:$F$51, 0))*(1+$C$5)^($C$4-$G24), 0)*$H10</f>
        <v>300.24976345861711</v>
      </c>
      <c r="F24" s="240">
        <f t="shared" si="3"/>
        <v>5367.5419252140473</v>
      </c>
      <c r="G24" s="43">
        <f t="shared" si="2"/>
        <v>2025</v>
      </c>
      <c r="H24"/>
      <c r="I24"/>
      <c r="J24"/>
    </row>
    <row r="25" spans="1:13">
      <c r="B25" s="239" t="str">
        <f t="shared" si="0"/>
        <v/>
      </c>
      <c r="C25" s="240" cm="1">
        <f t="array" ref="C25">IFERROR(INDEX($D$39:$F$42, MATCH(1, ($D11 = $B$39:$B$42)*($E11=$C$39:$C$42), 0), MATCH($C11, $D$38:$F$38, 0))*(1+$C$5)^($C$4-$G25), 0)*$F11</f>
        <v>0</v>
      </c>
      <c r="D25" s="240">
        <f t="shared" si="1"/>
        <v>0</v>
      </c>
      <c r="E25" s="240" cm="1">
        <f t="array" ref="E25">IFERROR(INDEX($D$52:$F$59, MATCH(1, ($D11 = $B$52:$B$59)*($E11=$C$52:$C$59), 0), MATCH($C11, $D$51:$F$51, 0))*(1+$C$5)^($C$4-$G25), 0)*$H11</f>
        <v>0</v>
      </c>
      <c r="F25" s="240">
        <f t="shared" si="3"/>
        <v>0</v>
      </c>
      <c r="G25" s="43" t="str">
        <f t="shared" si="2"/>
        <v/>
      </c>
      <c r="H25"/>
      <c r="I25"/>
      <c r="J25"/>
    </row>
    <row r="26" spans="1:13">
      <c r="B26" s="239" t="str">
        <f t="shared" si="0"/>
        <v/>
      </c>
      <c r="C26" s="240" cm="1">
        <f t="array" ref="C26">IFERROR(INDEX($D$39:$F$42, MATCH(1, ($D12 = $B$39:$B$42)*($E12=$C$39:$C$42), 0), MATCH($C12, $D$38:$F$38, 0))*(1+$C$5)^($C$4-$G26), 0)*$F12</f>
        <v>0</v>
      </c>
      <c r="D26" s="240">
        <f t="shared" si="1"/>
        <v>0</v>
      </c>
      <c r="E26" s="240" cm="1">
        <f t="array" ref="E26">IFERROR(INDEX($D$52:$F$59, MATCH(1, ($D12 = $B$52:$B$59)*($E12=$C$52:$C$59), 0), MATCH($C12, $D$51:$F$51, 0))*(1+$C$5)^($C$4-$G26), 0)*$H12</f>
        <v>0</v>
      </c>
      <c r="F26" s="240">
        <f t="shared" si="3"/>
        <v>0</v>
      </c>
      <c r="G26" s="43" t="str">
        <f t="shared" si="2"/>
        <v/>
      </c>
      <c r="H26"/>
      <c r="I26"/>
      <c r="J26"/>
    </row>
    <row r="27" spans="1:13">
      <c r="B27" s="239" t="str">
        <f t="shared" si="0"/>
        <v/>
      </c>
      <c r="C27" s="240" cm="1">
        <f t="array" ref="C27">IFERROR(INDEX($D$39:$F$42, MATCH(1, ($D13 = $B$39:$B$42)*($E13=$C$39:$C$42), 0), MATCH($C13, $D$38:$F$38, 0))*(1+$C$5)^($C$4-$G27), 0)*$F13</f>
        <v>0</v>
      </c>
      <c r="D27" s="240">
        <f t="shared" si="1"/>
        <v>0</v>
      </c>
      <c r="E27" s="240" cm="1">
        <f t="array" ref="E27">IFERROR(INDEX($D$52:$F$59, MATCH(1, ($D13 = $B$52:$B$59)*($E13=$C$52:$C$59), 0), MATCH($C13, $D$51:$F$51, 0))*(1+$C$5)^($C$4-$G27), 0)*$H13</f>
        <v>0</v>
      </c>
      <c r="F27" s="240">
        <f t="shared" si="3"/>
        <v>0</v>
      </c>
      <c r="G27" s="43" t="str">
        <f t="shared" si="2"/>
        <v/>
      </c>
      <c r="H27"/>
      <c r="I27"/>
      <c r="J27"/>
    </row>
    <row r="28" spans="1:13">
      <c r="B28" s="239" t="str">
        <f t="shared" si="0"/>
        <v/>
      </c>
      <c r="C28" s="240" cm="1">
        <f t="array" ref="C28">IFERROR(INDEX($D$39:$F$42, MATCH(1, ($D14 = $B$39:$B$42)*($E14=$C$39:$C$42), 0), MATCH($C14, $D$38:$F$38, 0))*(1+$C$5)^($C$4-$G28), 0)*$F14</f>
        <v>0</v>
      </c>
      <c r="D28" s="240">
        <f t="shared" si="1"/>
        <v>0</v>
      </c>
      <c r="E28" s="240" cm="1">
        <f t="array" ref="E28">IFERROR(INDEX($D$52:$F$59, MATCH(1, ($D14 = $B$52:$B$59)*($E14=$C$52:$C$59), 0), MATCH($C14, $D$51:$F$51, 0))*(1+$C$5)^($C$4-$G28), 0)*$H14</f>
        <v>0</v>
      </c>
      <c r="F28" s="240">
        <f t="shared" si="3"/>
        <v>0</v>
      </c>
      <c r="G28" s="43" t="str">
        <f t="shared" si="2"/>
        <v/>
      </c>
      <c r="H28"/>
      <c r="I28"/>
      <c r="J28"/>
    </row>
    <row r="29" spans="1:13">
      <c r="B29" s="239" t="str">
        <f t="shared" si="0"/>
        <v/>
      </c>
      <c r="C29" s="240" cm="1">
        <f t="array" ref="C29">IFERROR(INDEX($D$39:$F$42, MATCH(1, ($D15 = $B$39:$B$42)*($E15=$C$39:$C$42), 0), MATCH($C15, $D$38:$F$38, 0))*(1+$C$5)^($C$4-$G29), 0)*$F15</f>
        <v>0</v>
      </c>
      <c r="D29" s="240">
        <f t="shared" si="1"/>
        <v>0</v>
      </c>
      <c r="E29" s="240" cm="1">
        <f t="array" ref="E29">IFERROR(INDEX($D$52:$F$59, MATCH(1, ($D15 = $B$52:$B$59)*($E15=$C$52:$C$59), 0), MATCH($C15, $D$51:$F$51, 0))*(1+$C$5)^($C$4-$G29), 0)*$H15</f>
        <v>0</v>
      </c>
      <c r="F29" s="240">
        <f t="shared" si="3"/>
        <v>0</v>
      </c>
      <c r="G29" s="43" t="str">
        <f t="shared" si="2"/>
        <v/>
      </c>
      <c r="H29"/>
      <c r="I29"/>
      <c r="J29"/>
    </row>
    <row r="30" spans="1:13">
      <c r="B30" s="239" t="str">
        <f t="shared" si="0"/>
        <v/>
      </c>
      <c r="C30" s="240" cm="1">
        <f t="array" ref="C30">IFERROR(INDEX($D$39:$F$42, MATCH(1, ($D16 = $B$39:$B$42)*($E16=$C$39:$C$42), 0), MATCH($C16, $D$38:$F$38, 0))*(1+$C$5)^($C$4-$G30), 0)*$F16</f>
        <v>0</v>
      </c>
      <c r="D30" s="240">
        <f t="shared" si="1"/>
        <v>0</v>
      </c>
      <c r="E30" s="240" cm="1">
        <f t="array" ref="E30">IFERROR(INDEX($D$52:$F$59, MATCH(1, ($D16 = $B$52:$B$59)*($E16=$C$52:$C$59), 0), MATCH($C16, $D$51:$F$51, 0))*(1+$C$5)^($C$4-$G30), 0)*$H16</f>
        <v>0</v>
      </c>
      <c r="F30" s="240">
        <f t="shared" si="3"/>
        <v>0</v>
      </c>
      <c r="G30" s="43" t="str">
        <f t="shared" si="2"/>
        <v/>
      </c>
      <c r="H30"/>
      <c r="I30"/>
      <c r="J30"/>
    </row>
    <row r="31" spans="1:13">
      <c r="B31" s="239" t="str">
        <f t="shared" si="0"/>
        <v/>
      </c>
      <c r="C31" s="240" cm="1">
        <f t="array" ref="C31">IFERROR(INDEX($D$39:$F$42, MATCH(1, ($D17 = $B$39:$B$42)*($E17=$C$39:$C$42), 0), MATCH($C17, $D$38:$F$38, 0))*(1+$C$5)^($C$4-$G31), 0)*$F17</f>
        <v>0</v>
      </c>
      <c r="D31" s="240">
        <f t="shared" si="1"/>
        <v>0</v>
      </c>
      <c r="E31" s="240" cm="1">
        <f t="array" ref="E31">IFERROR(INDEX($D$52:$F$59, MATCH(1, ($D17 = $B$52:$B$59)*($E17=$C$52:$C$59), 0), MATCH($C17, $D$51:$F$51, 0))*(1+$C$5)^($C$4-$G31), 0)*$H17</f>
        <v>0</v>
      </c>
      <c r="F31" s="240">
        <f t="shared" si="3"/>
        <v>0</v>
      </c>
      <c r="G31" s="43" t="str">
        <f t="shared" si="2"/>
        <v/>
      </c>
      <c r="H31"/>
      <c r="I31"/>
      <c r="J31"/>
    </row>
    <row r="33" spans="1:13" ht="13">
      <c r="A33" s="234"/>
      <c r="B33" s="234" t="s">
        <v>185</v>
      </c>
      <c r="C33" s="234"/>
      <c r="D33" s="234"/>
      <c r="E33" s="234"/>
      <c r="F33" s="234"/>
      <c r="G33" s="234"/>
      <c r="H33" s="234"/>
      <c r="I33" s="234"/>
      <c r="J33" s="234"/>
      <c r="K33" s="234"/>
      <c r="L33" s="234"/>
      <c r="M33" s="234"/>
    </row>
    <row r="34" spans="1:13">
      <c r="B34" s="12"/>
      <c r="C34" s="131"/>
      <c r="D34" s="243" t="s">
        <v>186</v>
      </c>
      <c r="E34" s="131"/>
      <c r="F34" s="131"/>
      <c r="G34" s="131"/>
      <c r="H34" s="131"/>
      <c r="I34" s="131"/>
      <c r="J34" s="131"/>
    </row>
    <row r="35" spans="1:13">
      <c r="B35" s="14" t="s">
        <v>184</v>
      </c>
      <c r="C35" s="15"/>
      <c r="D35" s="215">
        <v>2023</v>
      </c>
      <c r="E35" s="215">
        <v>2025</v>
      </c>
      <c r="F35" s="215">
        <v>2025</v>
      </c>
      <c r="G35" s="131"/>
      <c r="K35" s="19"/>
      <c r="L35" s="19"/>
    </row>
    <row r="36" spans="1:13">
      <c r="B36" s="13"/>
      <c r="C36" s="131"/>
      <c r="D36" s="37"/>
      <c r="E36" s="37"/>
      <c r="F36" s="37"/>
      <c r="G36" s="131"/>
      <c r="K36" s="19"/>
      <c r="L36" s="19"/>
    </row>
    <row r="37" spans="1:13">
      <c r="B37" s="29" t="s">
        <v>187</v>
      </c>
      <c r="G37" s="135"/>
      <c r="K37" s="19"/>
      <c r="L37" s="19"/>
    </row>
    <row r="38" spans="1:13">
      <c r="B38" s="234" t="s">
        <v>188</v>
      </c>
      <c r="C38" s="234" t="s">
        <v>174</v>
      </c>
      <c r="D38" s="234" t="s">
        <v>124</v>
      </c>
      <c r="E38" s="234" t="s">
        <v>18</v>
      </c>
      <c r="F38" s="234" t="s">
        <v>127</v>
      </c>
      <c r="K38" s="19"/>
      <c r="L38" s="19"/>
    </row>
    <row r="39" spans="1:13">
      <c r="B39" s="136" t="s">
        <v>179</v>
      </c>
      <c r="C39" s="136" t="s">
        <v>180</v>
      </c>
      <c r="D39" s="220">
        <v>23</v>
      </c>
      <c r="E39" s="220">
        <v>31</v>
      </c>
      <c r="F39" s="220">
        <v>95</v>
      </c>
      <c r="K39" s="19"/>
      <c r="L39" s="19"/>
    </row>
    <row r="40" spans="1:13">
      <c r="B40" s="136" t="s">
        <v>179</v>
      </c>
      <c r="C40" s="136" t="s">
        <v>189</v>
      </c>
      <c r="D40" s="220">
        <v>24</v>
      </c>
      <c r="E40" s="220">
        <v>31</v>
      </c>
      <c r="F40" s="220">
        <v>95</v>
      </c>
      <c r="K40" s="19"/>
      <c r="L40" s="19"/>
    </row>
    <row r="41" spans="1:13">
      <c r="B41" s="136" t="s">
        <v>179</v>
      </c>
      <c r="C41" s="137" t="s">
        <v>190</v>
      </c>
      <c r="D41" s="220">
        <v>50</v>
      </c>
      <c r="E41" s="220">
        <v>31</v>
      </c>
      <c r="F41" s="220">
        <v>95</v>
      </c>
      <c r="K41" s="19"/>
      <c r="L41" s="19"/>
    </row>
    <row r="42" spans="1:13">
      <c r="B42" s="136" t="s">
        <v>179</v>
      </c>
      <c r="C42" s="137" t="s">
        <v>191</v>
      </c>
      <c r="D42" s="220">
        <v>50</v>
      </c>
      <c r="E42" s="220">
        <v>31</v>
      </c>
      <c r="F42" s="220">
        <v>95</v>
      </c>
      <c r="K42" s="19"/>
      <c r="L42" s="19"/>
    </row>
    <row r="43" spans="1:13">
      <c r="K43" s="19"/>
      <c r="L43" s="19"/>
    </row>
    <row r="44" spans="1:13">
      <c r="B44" s="29" t="s">
        <v>192</v>
      </c>
      <c r="E44" s="135"/>
      <c r="K44" s="19"/>
      <c r="L44" s="19"/>
    </row>
    <row r="45" spans="1:13">
      <c r="B45" s="37" t="s">
        <v>193</v>
      </c>
      <c r="K45" s="19"/>
      <c r="L45" s="19"/>
    </row>
    <row r="46" spans="1:13">
      <c r="B46" s="234" t="s">
        <v>188</v>
      </c>
      <c r="C46" s="234"/>
      <c r="D46" s="234" t="s">
        <v>124</v>
      </c>
      <c r="E46" s="234" t="s">
        <v>18</v>
      </c>
      <c r="F46" s="234" t="s">
        <v>127</v>
      </c>
      <c r="K46" s="19"/>
      <c r="L46" s="19"/>
    </row>
    <row r="47" spans="1:13">
      <c r="B47" s="83" t="s">
        <v>194</v>
      </c>
      <c r="C47" s="138"/>
      <c r="D47" s="220">
        <v>3786</v>
      </c>
      <c r="E47" s="220">
        <v>10159</v>
      </c>
      <c r="F47" s="220">
        <v>5390</v>
      </c>
      <c r="K47" s="19"/>
      <c r="L47" s="19"/>
    </row>
    <row r="48" spans="1:13">
      <c r="B48" s="83" t="s">
        <v>179</v>
      </c>
      <c r="C48" s="138"/>
      <c r="D48" s="220">
        <v>78</v>
      </c>
      <c r="E48" s="220">
        <v>10159</v>
      </c>
      <c r="F48" s="220">
        <v>5390</v>
      </c>
      <c r="K48" s="19"/>
      <c r="L48" s="19"/>
    </row>
    <row r="49" spans="2:12">
      <c r="K49" s="19"/>
      <c r="L49" s="19"/>
    </row>
    <row r="50" spans="2:12">
      <c r="B50" s="29" t="s">
        <v>195</v>
      </c>
      <c r="E50" s="135"/>
      <c r="K50" s="19"/>
      <c r="L50" s="19"/>
    </row>
    <row r="51" spans="2:12">
      <c r="B51" s="234" t="s">
        <v>188</v>
      </c>
      <c r="C51" s="234" t="s">
        <v>174</v>
      </c>
      <c r="D51" s="234" t="s">
        <v>124</v>
      </c>
      <c r="E51" s="234" t="s">
        <v>18</v>
      </c>
      <c r="F51" s="234" t="s">
        <v>127</v>
      </c>
      <c r="K51" s="19"/>
      <c r="L51" s="19"/>
    </row>
    <row r="52" spans="2:12">
      <c r="B52" s="136" t="s">
        <v>194</v>
      </c>
      <c r="C52" s="136" t="s">
        <v>180</v>
      </c>
      <c r="D52" s="220">
        <v>0</v>
      </c>
      <c r="E52" s="220">
        <v>656</v>
      </c>
      <c r="F52" s="220">
        <v>325</v>
      </c>
      <c r="K52" s="19"/>
      <c r="L52" s="19"/>
    </row>
    <row r="53" spans="2:12">
      <c r="B53" s="136" t="s">
        <v>194</v>
      </c>
      <c r="C53" s="136" t="s">
        <v>189</v>
      </c>
      <c r="D53" s="220">
        <v>58</v>
      </c>
      <c r="E53" s="220">
        <v>656</v>
      </c>
      <c r="F53" s="220">
        <v>325</v>
      </c>
      <c r="K53" s="19"/>
      <c r="L53" s="19"/>
    </row>
    <row r="54" spans="2:12">
      <c r="B54" s="136" t="s">
        <v>194</v>
      </c>
      <c r="C54" s="136" t="s">
        <v>190</v>
      </c>
      <c r="D54" s="220">
        <v>1267</v>
      </c>
      <c r="E54" s="220">
        <v>553</v>
      </c>
      <c r="F54" s="220">
        <v>325</v>
      </c>
      <c r="K54" s="19"/>
      <c r="L54" s="19"/>
    </row>
    <row r="55" spans="2:12">
      <c r="B55" s="136" t="s">
        <v>194</v>
      </c>
      <c r="C55" s="136" t="s">
        <v>191</v>
      </c>
      <c r="D55" s="220">
        <v>1267</v>
      </c>
      <c r="E55" s="220">
        <v>16309</v>
      </c>
      <c r="F55" s="220">
        <v>9229</v>
      </c>
      <c r="K55" s="19"/>
      <c r="L55" s="19"/>
    </row>
    <row r="56" spans="2:12">
      <c r="B56" s="136" t="s">
        <v>179</v>
      </c>
      <c r="C56" s="136" t="s">
        <v>180</v>
      </c>
      <c r="D56" s="220">
        <v>582</v>
      </c>
      <c r="E56" s="220">
        <v>656</v>
      </c>
      <c r="F56" s="220">
        <v>325</v>
      </c>
      <c r="K56" s="19"/>
      <c r="L56" s="19"/>
    </row>
    <row r="57" spans="2:12">
      <c r="B57" s="136" t="s">
        <v>179</v>
      </c>
      <c r="C57" s="136" t="s">
        <v>189</v>
      </c>
      <c r="D57" s="220">
        <v>511</v>
      </c>
      <c r="E57" s="220">
        <v>656</v>
      </c>
      <c r="F57" s="220">
        <v>325</v>
      </c>
    </row>
    <row r="58" spans="2:12">
      <c r="B58" s="136" t="s">
        <v>179</v>
      </c>
      <c r="C58" s="136" t="s">
        <v>190</v>
      </c>
      <c r="D58" s="220">
        <v>851</v>
      </c>
      <c r="E58" s="220">
        <v>553</v>
      </c>
      <c r="F58" s="220">
        <v>325</v>
      </c>
    </row>
    <row r="59" spans="2:12">
      <c r="B59" s="136" t="s">
        <v>179</v>
      </c>
      <c r="C59" s="136" t="s">
        <v>191</v>
      </c>
      <c r="D59" s="220">
        <v>851</v>
      </c>
      <c r="E59" s="220">
        <v>16309</v>
      </c>
      <c r="F59" s="220">
        <v>9229</v>
      </c>
    </row>
    <row r="60" spans="2:12">
      <c r="B60" s="222" t="s">
        <v>196</v>
      </c>
    </row>
  </sheetData>
  <pageMargins left="0.7" right="0.7" top="0.75" bottom="0.75" header="0.3" footer="0.3"/>
  <pageSetup orientation="portrait" horizontalDpi="90" verticalDpi="90" r:id="rId1"/>
  <extLst>
    <ext xmlns:x14="http://schemas.microsoft.com/office/spreadsheetml/2009/9/main" uri="{CCE6A557-97BC-4b89-ADB6-D9C93CAAB3DF}">
      <x14:dataValidations xmlns:xm="http://schemas.microsoft.com/office/excel/2006/main" count="3">
        <x14:dataValidation type="list" allowBlank="1" showInputMessage="1" showErrorMessage="1" xr:uid="{B81B321A-A568-4E1C-A385-E91875B607F6}">
          <x14:formula1>
            <xm:f>Lists!$B$5:$B$7</xm:f>
          </x14:formula1>
          <xm:sqref>C8:C17</xm:sqref>
        </x14:dataValidation>
        <x14:dataValidation type="list" allowBlank="1" showInputMessage="1" showErrorMessage="1" xr:uid="{6CE741B7-4A1C-47F5-9334-ABFD47292F64}">
          <x14:formula1>
            <xm:f>Lists!$B$19:$B$20</xm:f>
          </x14:formula1>
          <xm:sqref>D8:D17</xm:sqref>
        </x14:dataValidation>
        <x14:dataValidation type="list" allowBlank="1" showInputMessage="1" showErrorMessage="1" xr:uid="{031F5C6D-1E32-4EAD-8323-FCDA20673853}">
          <x14:formula1>
            <xm:f>Lists!$C$19:$C$22</xm:f>
          </x14:formula1>
          <xm:sqref>E8:E17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5B365957C7CB40992C2FD98AC36155" ma:contentTypeVersion="21" ma:contentTypeDescription="Create a new document." ma:contentTypeScope="" ma:versionID="856c54db37803a61818da05f1926e1b4">
  <xsd:schema xmlns:xsd="http://www.w3.org/2001/XMLSchema" xmlns:xs="http://www.w3.org/2001/XMLSchema" xmlns:p="http://schemas.microsoft.com/office/2006/metadata/properties" xmlns:ns1="http://schemas.microsoft.com/sharepoint/v3" xmlns:ns2="b48abb86-6b75-4cc9-8ac7-293f3cb026c9" xmlns:ns3="b2b8bedc-0fcb-47cf-97d0-3e95d67c491f" targetNamespace="http://schemas.microsoft.com/office/2006/metadata/properties" ma:root="true" ma:fieldsID="adee9f8d9203460234800317c1d17fa4" ns1:_="" ns2:_="" ns3:_="">
    <xsd:import namespace="http://schemas.microsoft.com/sharepoint/v3"/>
    <xsd:import namespace="b48abb86-6b75-4cc9-8ac7-293f3cb026c9"/>
    <xsd:import namespace="b2b8bedc-0fcb-47cf-97d0-3e95d67c49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Workingon" minOccurs="0"/>
                <xsd:element ref="ns2:test"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abb86-6b75-4cc9-8ac7-293f3cb026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Workingon" ma:index="18" nillable="true" ma:displayName="Working on" ma:description="Who is working on the document" ma:format="Dropdown" ma:list="UserInfo" ma:SharePointGroup="0" ma:internalName="Work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est" ma:index="19" nillable="true" ma:displayName="test" ma:format="Dropdown" ma:internalName="test">
      <xsd:simpleType>
        <xsd:restriction base="dms:Text">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5d88ab5-8cf0-45ea-9ae7-0517292233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b8bedc-0fcb-47cf-97d0-3e95d67c49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2a55c05a-23b9-47f8-b20a-12e0714192d7}" ma:internalName="TaxCatchAll" ma:showField="CatchAllData" ma:web="b2b8bedc-0fcb-47cf-97d0-3e95d67c49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st xmlns="b48abb86-6b75-4cc9-8ac7-293f3cb026c9" xsi:nil="true"/>
    <Workingon xmlns="b48abb86-6b75-4cc9-8ac7-293f3cb026c9">
      <UserInfo>
        <DisplayName/>
        <AccountId xsi:nil="true"/>
        <AccountType/>
      </UserInfo>
    </Workingon>
    <SharedWithUsers xmlns="b2b8bedc-0fcb-47cf-97d0-3e95d67c491f">
      <UserInfo>
        <DisplayName/>
        <AccountId xsi:nil="true"/>
        <AccountType/>
      </UserInfo>
    </SharedWithUsers>
    <_ip_UnifiedCompliancePolicyUIAction xmlns="http://schemas.microsoft.com/sharepoint/v3" xsi:nil="true"/>
    <TaxCatchAll xmlns="b2b8bedc-0fcb-47cf-97d0-3e95d67c491f" xsi:nil="true"/>
    <_ip_UnifiedCompliancePolicyProperties xmlns="http://schemas.microsoft.com/sharepoint/v3" xsi:nil="true"/>
    <lcf76f155ced4ddcb4097134ff3c332f xmlns="b48abb86-6b75-4cc9-8ac7-293f3cb026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3EA2C4-2B7F-48CA-BA4D-F8101717D5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8abb86-6b75-4cc9-8ac7-293f3cb026c9"/>
    <ds:schemaRef ds:uri="b2b8bedc-0fcb-47cf-97d0-3e95d67c49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4E193-1BB3-4DC1-A8AD-2228590D137E}">
  <ds:schemaRefs>
    <ds:schemaRef ds:uri="http://schemas.microsoft.com/sharepoint/v3/contenttype/forms"/>
  </ds:schemaRefs>
</ds:datastoreItem>
</file>

<file path=customXml/itemProps3.xml><?xml version="1.0" encoding="utf-8"?>
<ds:datastoreItem xmlns:ds="http://schemas.openxmlformats.org/officeDocument/2006/customXml" ds:itemID="{7D846A94-2BFD-4159-92AF-02873793800E}">
  <ds:schemaRefs>
    <ds:schemaRef ds:uri="http://schemas.openxmlformats.org/package/2006/metadata/core-properties"/>
    <ds:schemaRef ds:uri="http://purl.org/dc/elements/1.1/"/>
    <ds:schemaRef ds:uri="b2b8bedc-0fcb-47cf-97d0-3e95d67c491f"/>
    <ds:schemaRef ds:uri="http://schemas.microsoft.com/office/infopath/2007/PartnerControls"/>
    <ds:schemaRef ds:uri="http://schemas.microsoft.com/office/2006/documentManagement/types"/>
    <ds:schemaRef ds:uri="http://purl.org/dc/terms/"/>
    <ds:schemaRef ds:uri="b48abb86-6b75-4cc9-8ac7-293f3cb026c9"/>
    <ds:schemaRef ds:uri="http://schemas.microsoft.com/office/2006/metadata/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Cover</vt:lpstr>
      <vt:lpstr>User Dashboard</vt:lpstr>
      <vt:lpstr>Output</vt:lpstr>
      <vt:lpstr>Commodity</vt:lpstr>
      <vt:lpstr>Emissions</vt:lpstr>
      <vt:lpstr>T&amp;D</vt:lpstr>
      <vt:lpstr>Methane Leakage</vt:lpstr>
      <vt:lpstr>Other Inputs</vt:lpstr>
      <vt:lpstr>AGIC</vt:lpstr>
      <vt:lpstr>IEPR Gas Prices Nominal</vt:lpstr>
      <vt:lpstr>IEPR Gas Prices Real</vt:lpstr>
      <vt:lpstr>GDP Deflator</vt:lpstr>
      <vt:lpstr>References</vt:lpstr>
      <vt:lpstr>Lists</vt:lpstr>
      <vt:lpstr>Change Log</vt:lpstr>
    </vt:vector>
  </TitlesOfParts>
  <Manager/>
  <Company>E3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ver. 6</dc:subject>
  <dc:creator>Energy and Environmental Economics, Inc. (415)391-5100</dc:creator>
  <cp:keywords>CPUC Avoided Cost</cp:keywords>
  <dc:description>Prepared by E3, Inc. for the California Public Utilities Comission.</dc:description>
  <cp:lastModifiedBy>Fangxing Liu</cp:lastModifiedBy>
  <cp:revision/>
  <dcterms:created xsi:type="dcterms:W3CDTF">2003-10-23T22:01:03Z</dcterms:created>
  <dcterms:modified xsi:type="dcterms:W3CDTF">2026-09-03T17:21:03Z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{2AE9572C-5240-488D-AA54-3FE71EBBD264}</vt:lpwstr>
  </property>
  <property fmtid="{D5CDD505-2E9C-101B-9397-08002B2CF9AE}" pid="3" name="ContentTypeId">
    <vt:lpwstr>0x010100685B365957C7CB40992C2FD98AC36155</vt:lpwstr>
  </property>
  <property fmtid="{D5CDD505-2E9C-101B-9397-08002B2CF9AE}" pid="4" name="Order">
    <vt:r8>76600</vt:r8>
  </property>
  <property fmtid="{D5CDD505-2E9C-101B-9397-08002B2CF9AE}" pid="5" name="ComplianceAssetId">
    <vt:lpwstr/>
  </property>
  <property fmtid="{D5CDD505-2E9C-101B-9397-08002B2CF9AE}" pid="6" name="MediaServiceImageTags">
    <vt:lpwstr/>
  </property>
</Properties>
</file>