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api.box.com/wopi/files/1008856610568/WOPIServiceId_TP_BOX_2/WOPIUserId_11255340236/"/>
    </mc:Choice>
  </mc:AlternateContent>
  <xr:revisionPtr revIDLastSave="239" documentId="13_ncr:1_{E3C00100-BB7D-440C-B5FD-3F0BA6DB414B}" xr6:coauthVersionLast="47" xr6:coauthVersionMax="47" xr10:uidLastSave="{CF14D64B-1F90-49D2-8C0F-D55AFA08DCCF}"/>
  <bookViews>
    <workbookView xWindow="-108" yWindow="-108" windowWidth="23256" windowHeight="12576" xr2:uid="{0ED689D7-9D63-46AB-B398-856FAB074910}"/>
  </bookViews>
  <sheets>
    <sheet name="Dashboard" sheetId="12" r:id="rId1"/>
    <sheet name="ACC Inputs" sheetId="8" r:id="rId2"/>
    <sheet name="Refrigerant Leakage" sheetId="10" r:id="rId3"/>
    <sheet name="Refrigerant GWPs" sheetId="11" r:id="rId4"/>
    <sheet name="Change Log" sheetId="13" r:id="rId5"/>
  </sheets>
  <externalReferences>
    <externalReference r:id="rId6"/>
    <externalReference r:id="rId7"/>
    <externalReference r:id="rId8"/>
  </externalReferences>
  <definedNames>
    <definedName name="__123Graph_A" localSheetId="3" hidden="1">[1]Sheet1!#REF!</definedName>
    <definedName name="__123Graph_A" localSheetId="2" hidden="1">[1]Sheet1!#REF!</definedName>
    <definedName name="__123Graph_A" hidden="1">[1]Sheet1!#REF!</definedName>
    <definedName name="__123Graph_ADA" localSheetId="3" hidden="1">[1]Sheet1!#REF!</definedName>
    <definedName name="__123Graph_ADA" localSheetId="2" hidden="1">[1]Sheet1!#REF!</definedName>
    <definedName name="__123Graph_ADA" hidden="1">[1]Sheet1!#REF!</definedName>
    <definedName name="__123Graph_ADEPREC2" localSheetId="3" hidden="1">[1]Sheet1!#REF!</definedName>
    <definedName name="__123Graph_ADEPREC2" localSheetId="2" hidden="1">[1]Sheet1!#REF!</definedName>
    <definedName name="__123Graph_ADEPREC2" hidden="1">[1]Sheet1!#REF!</definedName>
    <definedName name="__123Graph_ATREND" localSheetId="3" hidden="1">[1]Sheet1!#REF!</definedName>
    <definedName name="__123Graph_ATREND" localSheetId="2" hidden="1">[1]Sheet1!#REF!</definedName>
    <definedName name="__123Graph_ATREND" hidden="1">[1]Sheet1!#REF!</definedName>
    <definedName name="__123Graph_B" localSheetId="3" hidden="1">[1]Sheet1!#REF!</definedName>
    <definedName name="__123Graph_B" localSheetId="2" hidden="1">[1]Sheet1!#REF!</definedName>
    <definedName name="__123Graph_B" hidden="1">[1]Sheet1!#REF!</definedName>
    <definedName name="__123Graph_BTREND" localSheetId="3" hidden="1">[1]Sheet1!#REF!</definedName>
    <definedName name="__123Graph_BTREND" localSheetId="2" hidden="1">[1]Sheet1!#REF!</definedName>
    <definedName name="__123Graph_BTREND" hidden="1">[1]Sheet1!#REF!</definedName>
    <definedName name="__123Graph_C" localSheetId="3" hidden="1">[1]Sheet1!#REF!</definedName>
    <definedName name="__123Graph_C" localSheetId="2" hidden="1">[1]Sheet1!#REF!</definedName>
    <definedName name="__123Graph_C" hidden="1">[1]Sheet1!#REF!</definedName>
    <definedName name="__123Graph_CTREND" localSheetId="3" hidden="1">[1]Sheet1!#REF!</definedName>
    <definedName name="__123Graph_CTREND" localSheetId="2" hidden="1">[1]Sheet1!#REF!</definedName>
    <definedName name="__123Graph_CTREND" hidden="1">[1]Sheet1!#REF!</definedName>
    <definedName name="__123Graph_X" localSheetId="3" hidden="1">[1]Sheet1!#REF!</definedName>
    <definedName name="__123Graph_X" localSheetId="2" hidden="1">[1]Sheet1!#REF!</definedName>
    <definedName name="__123Graph_X" hidden="1">[1]Sheet1!#REF!</definedName>
    <definedName name="__123Graph_XTREND" localSheetId="3" hidden="1">[1]Sheet1!#REF!</definedName>
    <definedName name="__123Graph_XTREND" localSheetId="2" hidden="1">[1]Sheet1!#REF!</definedName>
    <definedName name="__123Graph_XTREND" hidden="1">[1]Sheet1!#REF!</definedName>
    <definedName name="__FDS_HYPERLINK_TOGGLE_STATE__" hidden="1">"ON"</definedName>
    <definedName name="_1__123Graph_A_FABP_L.WK1_FAB" localSheetId="3" hidden="1">[1]Sheet1!#REF!</definedName>
    <definedName name="_1__123Graph_A_FABP_L.WK1_FAB" localSheetId="2" hidden="1">[1]Sheet1!#REF!</definedName>
    <definedName name="_1__123Graph_A_FABP_L.WK1_FAB" hidden="1">[1]Sheet1!#REF!</definedName>
    <definedName name="_2__123Graph_ADEPREC" localSheetId="3" hidden="1">[1]Sheet1!#REF!</definedName>
    <definedName name="_2__123Graph_ADEPREC" localSheetId="2" hidden="1">[1]Sheet1!#REF!</definedName>
    <definedName name="_2__123Graph_ADEPREC" hidden="1">[1]Sheet1!#REF!</definedName>
    <definedName name="_3__123Graph_B_FABP_L.WK1_FAB" localSheetId="3" hidden="1">[1]Sheet1!#REF!</definedName>
    <definedName name="_3__123Graph_B_FABP_L.WK1_FAB" localSheetId="2" hidden="1">[1]Sheet1!#REF!</definedName>
    <definedName name="_3__123Graph_B_FABP_L.WK1_FAB" hidden="1">[1]Sheet1!#REF!</definedName>
    <definedName name="_4__123Graph_C_FABP_L.WK1_FAB" localSheetId="3" hidden="1">[1]Sheet1!#REF!</definedName>
    <definedName name="_4__123Graph_C_FABP_L.WK1_FAB" localSheetId="2" hidden="1">[1]Sheet1!#REF!</definedName>
    <definedName name="_4__123Graph_C_FABP_L.WK1_FAB" hidden="1">[1]Sheet1!#REF!</definedName>
    <definedName name="_5__123Graph_X_FABP_L.WK1_FAB" localSheetId="3" hidden="1">[1]Sheet1!#REF!</definedName>
    <definedName name="_5__123Graph_X_FABP_L.WK1_FAB" localSheetId="2" hidden="1">[1]Sheet1!#REF!</definedName>
    <definedName name="_5__123Graph_X_FABP_L.WK1_FAB" hidden="1">[1]Sheet1!#REF!</definedName>
    <definedName name="_Fill" localSheetId="3" hidden="1">#REF!</definedName>
    <definedName name="_Fill" localSheetId="2" hidden="1">#REF!</definedName>
    <definedName name="_Fill" hidden="1">#REF!</definedName>
    <definedName name="_xlnm._FilterDatabase" localSheetId="3" hidden="1">'Refrigerant GWPs'!$A$1:$E$159</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2" hidden="1">#REF!</definedName>
    <definedName name="_Sort" hidden="1">#REF!</definedName>
    <definedName name="_Table2_In1" localSheetId="3" hidden="1">#REF!</definedName>
    <definedName name="_Table2_In1" localSheetId="2" hidden="1">#REF!</definedName>
    <definedName name="_Table2_In1" hidden="1">#REF!</definedName>
    <definedName name="_Table2_In2" localSheetId="3" hidden="1">#REF!</definedName>
    <definedName name="_Table2_In2" localSheetId="2" hidden="1">#REF!</definedName>
    <definedName name="_Table2_In2" hidden="1">#REF!</definedName>
    <definedName name="_Table2_Out" hidden="1">#REF!</definedName>
    <definedName name="ACFinalYear">[2]Dropdowns!$E$9</definedName>
    <definedName name="active_CZ">[2]Dropdowns!$J$3</definedName>
    <definedName name="active_IOU">[2]Dropdowns!$I$5</definedName>
    <definedName name="Active_PriceZone">[2]Dropdowns!$W$14</definedName>
    <definedName name="ACWACC">'[2]Dashboard Viewer'!$G$11</definedName>
    <definedName name="anscount" hidden="1">3</definedName>
    <definedName name="asd" localSheetId="3" hidden="1">[1]Sheet1!#REF!</definedName>
    <definedName name="asd" localSheetId="2" hidden="1">[1]Sheet1!#REF!</definedName>
    <definedName name="asd" hidden="1">[1]Sheet1!#REF!</definedName>
    <definedName name="asdf" localSheetId="3" hidden="1">[1]Sheet1!#REF!</definedName>
    <definedName name="asdf" localSheetId="2" hidden="1">[1]Sheet1!#REF!</definedName>
    <definedName name="asdf" hidden="1">[1]Sheet1!#REF!</definedName>
    <definedName name="BLPB1" hidden="1">'[3]One-Pager'!$A$5</definedName>
    <definedName name="BLPB2" hidden="1">'[3]One-Pager'!$B$5</definedName>
    <definedName name="BLPB3" hidden="1">'[3]One-Pager'!$A$6</definedName>
    <definedName name="BLPB4" hidden="1">'[3]One-Pager'!$A$2</definedName>
    <definedName name="BLPB5" hidden="1">'[3]One-Pager'!$Q$3</definedName>
    <definedName name="BLPB6" hidden="1">'[3]One-Pager'!$I$2</definedName>
    <definedName name="BLPB7" hidden="1">'[3]One-Pager'!$G$2</definedName>
    <definedName name="BLPB8" hidden="1">'[3]One-Pager'!$F$6</definedName>
    <definedName name="BLPH1" localSheetId="3" hidden="1">#REF!</definedName>
    <definedName name="BLPH1" localSheetId="2" hidden="1">#REF!</definedName>
    <definedName name="BLPH1" hidden="1">#REF!</definedName>
    <definedName name="BLPH10" localSheetId="3" hidden="1">#REF!</definedName>
    <definedName name="BLPH10" localSheetId="2" hidden="1">#REF!</definedName>
    <definedName name="BLPH10" hidden="1">#REF!</definedName>
    <definedName name="BLPH11" localSheetId="3" hidden="1">#REF!</definedName>
    <definedName name="BLPH11" localSheetId="2" hidden="1">#REF!</definedName>
    <definedName name="BLPH11" hidden="1">#REF!</definedName>
    <definedName name="BLPH12" hidden="1">#REF!</definedName>
    <definedName name="BLPH13" hidden="1">#REF!</definedName>
    <definedName name="BLPH14"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ZValid">[2]Dropdowns!$P$3</definedName>
    <definedName name="Earnings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FDP_0_1_aUrv" hidden="1">#REF!</definedName>
    <definedName name="FDP_1_1_aUrv" hidden="1">#REF!</definedName>
    <definedName name="FDP_10_1_aDrv" hidden="1">#REF!</definedName>
    <definedName name="FDP_100_1_aUrv" hidden="1">#REF!</definedName>
    <definedName name="FDP_101_1_aUrv" hidden="1">#REF!</definedName>
    <definedName name="FDP_102_1_aUrv" hidden="1">#REF!</definedName>
    <definedName name="FDP_103_1_aUrv" hidden="1">#REF!</definedName>
    <definedName name="FDP_104_1_aUrv" hidden="1">#REF!</definedName>
    <definedName name="FDP_105_1_aUrv" hidden="1">#REF!</definedName>
    <definedName name="FDP_106_1_aUrv" hidden="1">#REF!</definedName>
    <definedName name="FDP_107_1_aUrv" hidden="1">#REF!</definedName>
    <definedName name="FDP_108_1_aUrv" hidden="1">#REF!</definedName>
    <definedName name="FDP_109_1_aUrv" hidden="1">#REF!</definedName>
    <definedName name="FDP_11_1_aDrv" hidden="1">#REF!</definedName>
    <definedName name="FDP_110_1_aUrv" hidden="1">#REF!</definedName>
    <definedName name="FDP_111_1_aUrv" hidden="1">#REF!</definedName>
    <definedName name="FDP_112_1_aUrv" hidden="1">#REF!</definedName>
    <definedName name="FDP_113_1_aUrv" hidden="1">#REF!</definedName>
    <definedName name="FDP_114_1_aUrv" hidden="1">#REF!</definedName>
    <definedName name="FDP_115_1_aUrv" hidden="1">#REF!</definedName>
    <definedName name="FDP_116_1_aUrv" hidden="1">#REF!</definedName>
    <definedName name="FDP_117_1_aUrv" hidden="1">#REF!</definedName>
    <definedName name="FDP_118_1_aUrv" hidden="1">#REF!</definedName>
    <definedName name="FDP_119_1_aUrv" hidden="1">#REF!</definedName>
    <definedName name="FDP_12_1_aDrv" hidden="1">#REF!</definedName>
    <definedName name="FDP_120_1_aUrv" hidden="1">#REF!</definedName>
    <definedName name="FDP_121_1_aUrv" hidden="1">#REF!</definedName>
    <definedName name="FDP_122_1_aUrv" hidden="1">#REF!</definedName>
    <definedName name="FDP_123_1_aUrv" hidden="1">#REF!</definedName>
    <definedName name="FDP_124_1_aUrv" hidden="1">#REF!</definedName>
    <definedName name="FDP_125_1_aUrv" hidden="1">#REF!</definedName>
    <definedName name="FDP_126_1_aUrv" hidden="1">#REF!</definedName>
    <definedName name="FDP_127_1_aUrv" hidden="1">#REF!</definedName>
    <definedName name="FDP_128_1_aUrv" hidden="1">#REF!</definedName>
    <definedName name="FDP_129_1_aUrv" hidden="1">#REF!</definedName>
    <definedName name="FDP_13_1_aUrv" hidden="1">#REF!</definedName>
    <definedName name="FDP_130_1_aUrv" hidden="1">#REF!</definedName>
    <definedName name="FDP_131_1_aSrv" hidden="1">#REF!</definedName>
    <definedName name="FDP_132_1_aUrv" hidden="1">#REF!</definedName>
    <definedName name="FDP_133_1_aUrv" hidden="1">#REF!</definedName>
    <definedName name="FDP_134_1_aUrv" hidden="1">#REF!</definedName>
    <definedName name="FDP_135_1_aUrv" hidden="1">#REF!</definedName>
    <definedName name="FDP_136_1_aSrv" hidden="1">#REF!</definedName>
    <definedName name="FDP_137_1_aUrv" hidden="1">#REF!</definedName>
    <definedName name="FDP_138_1_aUrv" hidden="1">#REF!</definedName>
    <definedName name="FDP_139_1_aUrv" hidden="1">#REF!</definedName>
    <definedName name="FDP_14_1_aUrv" hidden="1">#REF!</definedName>
    <definedName name="FDP_140_1_aUrv" hidden="1">#REF!</definedName>
    <definedName name="FDP_141_1_aUrv" hidden="1">#REF!</definedName>
    <definedName name="FDP_142_1_aUrv" hidden="1">#REF!</definedName>
    <definedName name="FDP_143_1_aUrv" hidden="1">#REF!</definedName>
    <definedName name="FDP_144_1_aUrv" hidden="1">#REF!</definedName>
    <definedName name="FDP_145_1_aUrv" hidden="1">#REF!</definedName>
    <definedName name="FDP_146_1_aUrv" hidden="1">#REF!</definedName>
    <definedName name="FDP_147_1_aUrv" hidden="1">#REF!</definedName>
    <definedName name="FDP_148_1_aUrv" hidden="1">#REF!</definedName>
    <definedName name="FDP_149_1_aUrv" hidden="1">#REF!</definedName>
    <definedName name="FDP_15_1_aUrv" hidden="1">#REF!</definedName>
    <definedName name="FDP_150_1_aSrv" hidden="1">#REF!</definedName>
    <definedName name="FDP_151_1_aUrv" hidden="1">#REF!</definedName>
    <definedName name="FDP_152_1_aSrv" hidden="1">#REF!</definedName>
    <definedName name="FDP_153_1_aUrv" hidden="1">#REF!</definedName>
    <definedName name="FDP_154_1_aSrv" hidden="1">#REF!</definedName>
    <definedName name="FDP_155_1_aUrv" hidden="1">#REF!</definedName>
    <definedName name="FDP_156_1_aSrv" hidden="1">#REF!</definedName>
    <definedName name="FDP_157_1_aUrv" hidden="1">#REF!</definedName>
    <definedName name="FDP_158_1_aSrv" hidden="1">#REF!</definedName>
    <definedName name="FDP_159_1_aUrv" hidden="1">#REF!</definedName>
    <definedName name="FDP_16_1_aUrv" hidden="1">#REF!</definedName>
    <definedName name="FDP_160_1_aSrv" hidden="1">#REF!</definedName>
    <definedName name="FDP_161_1_aDrv" hidden="1">#REF!</definedName>
    <definedName name="FDP_162_1_aDrv" hidden="1">#REF!</definedName>
    <definedName name="FDP_163_1_aDrv" hidden="1">#REF!</definedName>
    <definedName name="FDP_164_1_aDrv" hidden="1">#REF!</definedName>
    <definedName name="FDP_165_1_aDrv" hidden="1">#REF!</definedName>
    <definedName name="FDP_166_1_aDrv" hidden="1">#REF!</definedName>
    <definedName name="FDP_167_1_aDrv" hidden="1">#REF!</definedName>
    <definedName name="FDP_168_1_aDrv" hidden="1">#REF!</definedName>
    <definedName name="FDP_169_1_aDrv" hidden="1">#REF!</definedName>
    <definedName name="FDP_17_1_aUrv" hidden="1">#REF!</definedName>
    <definedName name="FDP_170_1_aDrv" hidden="1">#REF!</definedName>
    <definedName name="FDP_171_1_aDrv" hidden="1">#REF!</definedName>
    <definedName name="FDP_172_1_aDrv" hidden="1">#REF!</definedName>
    <definedName name="FDP_173_1_aDrv" hidden="1">#REF!</definedName>
    <definedName name="FDP_174_1_aUrv" hidden="1">#REF!</definedName>
    <definedName name="FDP_175_1_aUrv" hidden="1">#REF!</definedName>
    <definedName name="FDP_176_1_aUrv" hidden="1">#REF!</definedName>
    <definedName name="FDP_177_1_aUrv" hidden="1">#REF!</definedName>
    <definedName name="FDP_178_1_aUrv" hidden="1">#REF!</definedName>
    <definedName name="FDP_179_1_aUrv" hidden="1">#REF!</definedName>
    <definedName name="FDP_18_1_aUrv" hidden="1">#REF!</definedName>
    <definedName name="FDP_180_1_aUdv" hidden="1">#REF!</definedName>
    <definedName name="FDP_181_1_aUdv" hidden="1">#REF!</definedName>
    <definedName name="FDP_182_1_aUdv" hidden="1">#REF!</definedName>
    <definedName name="FDP_183_1_aUdv" hidden="1">#REF!</definedName>
    <definedName name="FDP_184_1_aUdv" hidden="1">#REF!</definedName>
    <definedName name="FDP_185_1_aUdv" hidden="1">#REF!</definedName>
    <definedName name="FDP_186_1_aUdv" hidden="1">#REF!</definedName>
    <definedName name="FDP_187_1_aUdv" hidden="1">#REF!</definedName>
    <definedName name="FDP_188_1_aUdv" hidden="1">#REF!</definedName>
    <definedName name="FDP_189_1_aUdv" hidden="1">#REF!</definedName>
    <definedName name="FDP_19_1_aUrv" hidden="1">#REF!</definedName>
    <definedName name="FDP_190_1_aUdv" hidden="1">#REF!</definedName>
    <definedName name="FDP_191_1_aUdv" hidden="1">#REF!</definedName>
    <definedName name="FDP_192_1_aUdv" hidden="1">#REF!</definedName>
    <definedName name="FDP_193_1_aUdv" hidden="1">#REF!</definedName>
    <definedName name="FDP_194_1_aUdv" hidden="1">#REF!</definedName>
    <definedName name="FDP_195_1_aUdv" hidden="1">#REF!</definedName>
    <definedName name="FDP_196_1_aUdv" hidden="1">#REF!</definedName>
    <definedName name="FDP_196_1aUdv1" hidden="1">#REF!</definedName>
    <definedName name="FDP_197_1_aUdv" hidden="1">#REF!</definedName>
    <definedName name="FDP_198_1_aUdv" hidden="1">#REF!</definedName>
    <definedName name="FDP_199_1_aUdv" hidden="1">#REF!</definedName>
    <definedName name="FDP_2_1_aUrv" hidden="1">#REF!</definedName>
    <definedName name="FDP_20_1_aUrv" hidden="1">#REF!</definedName>
    <definedName name="FDP_21_1_aUrv" hidden="1">#REF!</definedName>
    <definedName name="FDP_22_1_aUrv" hidden="1">#REF!</definedName>
    <definedName name="FDP_23_1_aDrv" hidden="1">#REF!</definedName>
    <definedName name="FDP_24_1_aUrv" hidden="1">#REF!</definedName>
    <definedName name="FDP_25_1_aUrv" hidden="1">#REF!</definedName>
    <definedName name="FDP_26_1_aUrv" hidden="1">#REF!</definedName>
    <definedName name="FDP_27_1_aUrv" hidden="1">#REF!</definedName>
    <definedName name="FDP_28_1_aUrv" hidden="1">#REF!</definedName>
    <definedName name="FDP_29_1_aDrv" hidden="1">#REF!</definedName>
    <definedName name="FDP_3_1_aUrv" hidden="1">#REF!</definedName>
    <definedName name="FDP_30_1_aUrv" hidden="1">#REF!</definedName>
    <definedName name="FDP_31_1_aUrv" hidden="1">#REF!</definedName>
    <definedName name="FDP_32_1_aUrv" hidden="1">#REF!</definedName>
    <definedName name="FDP_33_1_aUrv" hidden="1">#REF!</definedName>
    <definedName name="FDP_34_1_aUrv" hidden="1">#REF!</definedName>
    <definedName name="FDP_35_1_aSrv" hidden="1">#REF!</definedName>
    <definedName name="FDP_36_1_aUrv" hidden="1">#REF!</definedName>
    <definedName name="FDP_37_1_aUrv" hidden="1">#REF!</definedName>
    <definedName name="FDP_38_1_aUrv" hidden="1">#REF!</definedName>
    <definedName name="FDP_39_1_aUrv" hidden="1">#REF!</definedName>
    <definedName name="FDP_4_1_aUrv" hidden="1">#REF!</definedName>
    <definedName name="FDP_40_1_aUrv" hidden="1">#REF!</definedName>
    <definedName name="FDP_41_1_aSrv" hidden="1">#REF!</definedName>
    <definedName name="FDP_42_1_aSrv" hidden="1">#REF!</definedName>
    <definedName name="FDP_43_1_aUrv" hidden="1">#REF!</definedName>
    <definedName name="FDP_44_1_aUrv" hidden="1">#REF!</definedName>
    <definedName name="FDP_45_1_aUrv" hidden="1">#REF!</definedName>
    <definedName name="FDP_46_1_aUrv" hidden="1">#REF!</definedName>
    <definedName name="FDP_47_1_aUrv" hidden="1">#REF!</definedName>
    <definedName name="FDP_48_1_aSrv" hidden="1">#REF!</definedName>
    <definedName name="FDP_49_1_aUrv" hidden="1">#REF!</definedName>
    <definedName name="FDP_5_1_aUrv" hidden="1">#REF!</definedName>
    <definedName name="FDP_50_1_aUrv" hidden="1">#REF!</definedName>
    <definedName name="FDP_51_1_aUrv" hidden="1">#REF!</definedName>
    <definedName name="FDP_52_1_aUrv" hidden="1">#REF!</definedName>
    <definedName name="FDP_53_1_aUrv" hidden="1">#REF!</definedName>
    <definedName name="FDP_54_1_aUrv" hidden="1">#REF!</definedName>
    <definedName name="FDP_55_1_aUrv" hidden="1">#REF!</definedName>
    <definedName name="FDP_56_1_aUrv" hidden="1">#REF!</definedName>
    <definedName name="FDP_57_1_aUrv" hidden="1">#REF!</definedName>
    <definedName name="FDP_58_1_aUrv" hidden="1">#REF!</definedName>
    <definedName name="FDP_59_1_aUrv" hidden="1">#REF!</definedName>
    <definedName name="FDP_6_1_aUrv" hidden="1">#REF!</definedName>
    <definedName name="FDP_60_1_aUrv" hidden="1">#REF!</definedName>
    <definedName name="FDP_61_1_aSrv" hidden="1">#REF!</definedName>
    <definedName name="FDP_62_1_aSrv" hidden="1">#REF!</definedName>
    <definedName name="FDP_63_1_aUrv" hidden="1">#REF!</definedName>
    <definedName name="FDP_64_1_aSrv" hidden="1">#REF!</definedName>
    <definedName name="FDP_65_1_aSrv" hidden="1">#REF!</definedName>
    <definedName name="FDP_66_1_aUrv" hidden="1">#REF!</definedName>
    <definedName name="FDP_67_1_aUrv" hidden="1">#REF!</definedName>
    <definedName name="FDP_68_1_aUrv" hidden="1">#REF!</definedName>
    <definedName name="FDP_69_1_aUrv" hidden="1">#REF!</definedName>
    <definedName name="FDP_7_1_aUrv" hidden="1">#REF!</definedName>
    <definedName name="FDP_70_1_aDrv" hidden="1">#REF!</definedName>
    <definedName name="FDP_71_1_aUrv" hidden="1">#REF!</definedName>
    <definedName name="FDP_72_1_aDrv" hidden="1">#REF!</definedName>
    <definedName name="FDP_73_1_aUrv" hidden="1">#REF!</definedName>
    <definedName name="FDP_74_1_aUrv" hidden="1">#REF!</definedName>
    <definedName name="FDP_75_1_aSrv" hidden="1">#REF!</definedName>
    <definedName name="FDP_76_1_aUrv" hidden="1">#REF!</definedName>
    <definedName name="FDP_77_1_aUrv" hidden="1">#REF!</definedName>
    <definedName name="FDP_78_1_aUrv" hidden="1">#REF!</definedName>
    <definedName name="FDP_79_1_aUrv" hidden="1">#REF!</definedName>
    <definedName name="FDP_8_1_aDrv" hidden="1">#REF!</definedName>
    <definedName name="FDP_80_1_aUrv" hidden="1">#REF!</definedName>
    <definedName name="FDP_81_1_aSrv" hidden="1">#REF!</definedName>
    <definedName name="FDP_82_1_aUrv" hidden="1">#REF!</definedName>
    <definedName name="FDP_83_1_aSrv" hidden="1">#REF!</definedName>
    <definedName name="FDP_84_1_aUrv" hidden="1">#REF!</definedName>
    <definedName name="FDP_85_1_aUrv" hidden="1">#REF!</definedName>
    <definedName name="FDP_86_1_aUrv" hidden="1">#REF!</definedName>
    <definedName name="FDP_87_1_aSrv" hidden="1">#REF!</definedName>
    <definedName name="FDP_88_1_aUrv" hidden="1">#REF!</definedName>
    <definedName name="FDP_89_1_aSrv" hidden="1">#REF!</definedName>
    <definedName name="FDP_9_1_aDrv" hidden="1">#REF!</definedName>
    <definedName name="FDP_90_1_aUrv" hidden="1">#REF!</definedName>
    <definedName name="FDP_91_1_aUrv" hidden="1">#REF!</definedName>
    <definedName name="FDP_92_1_aSrv" hidden="1">#REF!</definedName>
    <definedName name="FDP_93_1_aDrv" hidden="1">#REF!</definedName>
    <definedName name="FDP_94_1_aUrv" hidden="1">#REF!</definedName>
    <definedName name="FDP_95_1_aUrv" hidden="1">#REF!</definedName>
    <definedName name="FDP_96_1_aUrv" hidden="1">#REF!</definedName>
    <definedName name="FDP_97_1_aUrv" hidden="1">#REF!</definedName>
    <definedName name="FDP_98_1_aUrv" hidden="1">#REF!</definedName>
    <definedName name="FDP_99_1_aUrv" hidden="1">#REF!</definedName>
    <definedName name="HistoricalYear">[2]Dropdowns!$E$8</definedName>
    <definedName name="HTML_CodePage" hidden="1">1252</definedName>
    <definedName name="HTML_Control" localSheetId="3" hidden="1">{"'Summary'!$A$1:$J$24"}</definedName>
    <definedName name="HTML_Control" localSheetId="2" hidden="1">{"'Summary'!$A$1:$J$24"}</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Title" hidden="1">"Daily MTM  Report"</definedName>
    <definedName name="IndexCZ">[2]Dropdowns!$K$3</definedName>
    <definedName name="InflationRate">'[2]IRP Inputs'!$C$4</definedName>
    <definedName name="IOUWACC">'[2]IRP Inputs'!$C$8</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LT_DEBT" hidden="1">"c2086"</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EST" hidden="1">"IQ_REVENUE_EST"</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39146.6970023148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LASTCLOSE" hidden="1">"c1855"</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limcount" hidden="1">3</definedName>
    <definedName name="_xlnm.Print_Area" localSheetId="3">'Refrigerant GWPs'!$A$1:$E$159</definedName>
    <definedName name="sencount" hidden="1">1</definedName>
    <definedName name="ShortTon_MetricTonne">[2]Emissions!#REF!</definedName>
    <definedName name="solargraph" localSheetId="3" hidden="1">[1]Sheet1!#REF!</definedName>
    <definedName name="solargraph" localSheetId="2" hidden="1">[1]Sheet1!#REF!</definedName>
    <definedName name="solargraph" hidden="1">[1]Sheet1!#REF!</definedName>
    <definedName name="solver_adj" localSheetId="3" hidden="1">#REF!</definedName>
    <definedName name="solver_adj" localSheetId="2" hidden="1">#REF!</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opt" localSheetId="3" hidden="1">#REF!</definedName>
    <definedName name="solver_opt" localSheetId="2"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tartYear">'[2]Dashboard Viewer'!$G$7</definedName>
    <definedName name="wrn.ALL." localSheetId="3" hidden="1">{#N/A,#N/A,FALSE,"ASSUMPTIONS";#N/A,#N/A,FALSE,"Valuation Summary";"page1",#N/A,FALSE,"PRESENTATION";"page2",#N/A,FALSE,"PRESENTATION";#N/A,#N/A,FALSE,"ORIGINAL_ROLLBACK"}</definedName>
    <definedName name="wrn.ALL." localSheetId="2" hidden="1">{#N/A,#N/A,FALSE,"ASSUMPTIONS";#N/A,#N/A,FALSE,"Valuation Summary";"page1",#N/A,FALSE,"PRESENTATION";"page2",#N/A,FALSE,"PRESENTATION";#N/A,#N/A,FALSE,"ORIGINAL_ROLLBACK"}</definedName>
    <definedName name="wrn.ALL." hidden="1">{#N/A,#N/A,FALSE,"ASSUMPTIONS";#N/A,#N/A,FALSE,"Valuation Summary";"page1",#N/A,FALSE,"PRESENTATION";"page2",#N/A,FALSE,"PRESENTATION";#N/A,#N/A,FALSE,"ORIGINAL_ROLLBACK"}</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ullReport." localSheetId="3"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localSheetId="2"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Y97SBP." localSheetId="3" hidden="1">{#N/A,#N/A,FALSE,"FY97";#N/A,#N/A,FALSE,"FY98";#N/A,#N/A,FALSE,"FY99";#N/A,#N/A,FALSE,"FY00";#N/A,#N/A,FALSE,"FY01"}</definedName>
    <definedName name="wrn.FY97SBP." localSheetId="2" hidden="1">{#N/A,#N/A,FALSE,"FY97";#N/A,#N/A,FALSE,"FY98";#N/A,#N/A,FALSE,"FY99";#N/A,#N/A,FALSE,"FY00";#N/A,#N/A,FALSE,"FY01"}</definedName>
    <definedName name="wrn.FY97SBP." hidden="1">{#N/A,#N/A,FALSE,"FY97";#N/A,#N/A,FALSE,"FY98";#N/A,#N/A,FALSE,"FY99";#N/A,#N/A,FALSE,"FY00";#N/A,#N/A,FALSE,"FY01"}</definedName>
    <definedName name="wrn.PRES_OUT." localSheetId="3" hidden="1">{"page1",#N/A,FALSE,"PRESENTATION";"page2",#N/A,FALSE,"PRESENTATION";#N/A,#N/A,FALSE,"Valuation Summary"}</definedName>
    <definedName name="wrn.PRES_OUT." localSheetId="2" hidden="1">{"page1",#N/A,FALSE,"PRESENTATION";"page2",#N/A,FALSE,"PRESENTATION";#N/A,#N/A,FALSE,"Valuation Summary"}</definedName>
    <definedName name="wrn.PRES_OUT." hidden="1">{"page1",#N/A,FALSE,"PRESENTATION";"page2",#N/A,FALSE,"PRESENTATION";#N/A,#N/A,FALSE,"Valuation Summary"}</definedName>
    <definedName name="wrn.Presentation._.Version._.but._.No._.WC._.Slide." localSheetId="3"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localSheetId="2"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int._.1_8." localSheetId="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CURRENT._.PAGE." localSheetId="3" hidden="1">{"CURRENT",#N/A,FALSE,"REGISTER"}</definedName>
    <definedName name="wrn.PRINT_CURRENT._.PAGE." localSheetId="2" hidden="1">{"CURRENT",#N/A,FALSE,"REGISTER"}</definedName>
    <definedName name="wrn.PRINT_CURRENT._.PAGE." hidden="1">{"CURRENT",#N/A,FALSE,"REGISTER"}</definedName>
    <definedName name="wrn.PRINT_HISTORY." localSheetId="3" hidden="1">{"HISTORY",#N/A,FALSE,"REGISTER"}</definedName>
    <definedName name="wrn.PRINT_HISTORY." localSheetId="2" hidden="1">{"HISTORY",#N/A,FALSE,"REGISTER"}</definedName>
    <definedName name="wrn.PRINT_HISTORY." hidden="1">{"HISTORY",#N/A,FALSE,"REGISTER"}</definedName>
    <definedName name="wrn.printall." localSheetId="3" hidden="1">{"page1",#N/A,FALSE,"DCM";"page2",#N/A,FALSE,"DCM";"page3",#N/A,FALSE,"DCM";"page4",#N/A,FALSE,"DCM";"page5",#N/A,FALSE,"DCM";"page6",#N/A,FALSE,"DCM";"page7",#N/A,FALSE,"DCM";"page8",#N/A,FALSE,"DCM"}</definedName>
    <definedName name="wrn.printall." localSheetId="2" hidden="1">{"page1",#N/A,FALSE,"DCM";"page2",#N/A,FALSE,"DCM";"page3",#N/A,FALSE,"DCM";"page4",#N/A,FALSE,"DCM";"page5",#N/A,FALSE,"DCM";"page6",#N/A,FALSE,"DCM";"page7",#N/A,FALSE,"DCM";"page8",#N/A,FALSE,"DCM"}</definedName>
    <definedName name="wrn.printall." hidden="1">{"page1",#N/A,FALSE,"DCM";"page2",#N/A,FALSE,"DCM";"page3",#N/A,FALSE,"DCM";"page4",#N/A,FALSE,"DCM";"page5",#N/A,FALSE,"DCM";"page6",#N/A,FALSE,"DCM";"page7",#N/A,FALSE,"DCM";"page8",#N/A,FALSE,"DCM"}</definedName>
    <definedName name="wrn.sum1." localSheetId="3" hidden="1">{"Summary","1",FALSE,"Summary"}</definedName>
    <definedName name="wrn.sum1." localSheetId="2" hidden="1">{"Summary","1",FALSE,"Summary"}</definedName>
    <definedName name="wrn.sum1." hidden="1">{"Summary","1",FALSE,"Summary"}</definedName>
    <definedName name="wrn.Summary." localSheetId="3" hidden="1">{"page1",#N/A,FALSE,"DCM";"page3",#N/A,FALSE,"DCM"}</definedName>
    <definedName name="wrn.Summary." localSheetId="2" hidden="1">{"page1",#N/A,FALSE,"DCM";"page3",#N/A,FALSE,"DCM"}</definedName>
    <definedName name="wrn.Summary." hidden="1">{"page1",#N/A,FALSE,"DCM";"page3",#N/A,FALSE,"DCM"}</definedName>
    <definedName name="wrn.Working._.Version." localSheetId="3"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localSheetId="2"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papers." localSheetId="3" hidden="1">{#N/A,#N/A,FALSE,"Inputs And Assumptions";#N/A,#N/A,FALSE,"Revenue Allocation";#N/A,#N/A,FALSE,"RSP Surch Allocations";#N/A,#N/A,FALSE,"Generation Calculations";#N/A,#N/A,FALSE,"Test Year 2001 Sales and Revs."}</definedName>
    <definedName name="wrn.workpapers." localSheetId="2" hidden="1">{#N/A,#N/A,FALSE,"Inputs And Assumptions";#N/A,#N/A,FALSE,"Revenue Allocation";#N/A,#N/A,FALSE,"RSP Surch Allocations";#N/A,#N/A,FALSE,"Generation Calculations";#N/A,#N/A,FALSE,"Test Year 2001 Sales and Revs."}</definedName>
    <definedName name="wrn.workpapers." hidden="1">{#N/A,#N/A,FALSE,"Inputs And Assumptions";#N/A,#N/A,FALSE,"Revenue Allocation";#N/A,#N/A,FALSE,"RSP Surch Allocations";#N/A,#N/A,FALSE,"Generation Calculations";#N/A,#N/A,FALSE,"Test Year 2001 Sales and Revs."}</definedName>
    <definedName name="wrn1.fullreport" localSheetId="3"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localSheetId="2"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printall" localSheetId="3" hidden="1">{"page1",#N/A,FALSE,"DCM";"page2",#N/A,FALSE,"DCM";"page3",#N/A,FALSE,"DCM";"page4",#N/A,FALSE,"DCM";"page5",#N/A,FALSE,"DCM";"page6",#N/A,FALSE,"DCM";"page7",#N/A,FALSE,"DCM";"page8",#N/A,FALSE,"DCM"}</definedName>
    <definedName name="wrn1.printall" localSheetId="2" hidden="1">{"page1",#N/A,FALSE,"DCM";"page2",#N/A,FALSE,"DCM";"page3",#N/A,FALSE,"DCM";"page4",#N/A,FALSE,"DCM";"page5",#N/A,FALSE,"DCM";"page6",#N/A,FALSE,"DCM";"page7",#N/A,FALSE,"DCM";"page8",#N/A,FALSE,"DCM"}</definedName>
    <definedName name="wrn1.printall" hidden="1">{"page1",#N/A,FALSE,"DCM";"page2",#N/A,FALSE,"DCM";"page3",#N/A,FALSE,"DCM";"page4",#N/A,FALSE,"DCM";"page5",#N/A,FALSE,"DCM";"page6",#N/A,FALSE,"DCM";"page7",#N/A,FALSE,"DCM";"page8",#N/A,FALSE,"DCM"}</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3" i="12" l="1"/>
  <c r="E126" i="12"/>
  <c r="E125" i="12"/>
  <c r="E124" i="12"/>
  <c r="E127" i="12" s="1"/>
  <c r="F126" i="12"/>
  <c r="F125" i="12"/>
  <c r="F124" i="12"/>
  <c r="E123" i="12"/>
  <c r="E131" i="12" l="1"/>
  <c r="C127" i="12"/>
  <c r="C126" i="12"/>
  <c r="C125" i="12"/>
  <c r="C124" i="12"/>
  <c r="C123" i="12"/>
  <c r="J25" i="12" l="1"/>
  <c r="G3" i="11" l="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D74" i="12" s="1"/>
  <c r="G153" i="11"/>
  <c r="G154" i="11"/>
  <c r="G2" i="11"/>
  <c r="E90" i="12"/>
  <c r="F90" i="12"/>
  <c r="E108" i="12"/>
  <c r="F108" i="12"/>
  <c r="H50" i="12" l="1"/>
  <c r="E39" i="12" l="1"/>
  <c r="H31" i="12" l="1"/>
  <c r="H75" i="12" s="1"/>
  <c r="H49" i="12"/>
  <c r="H46" i="12"/>
  <c r="H45" i="12"/>
  <c r="H41" i="12"/>
  <c r="H38" i="12"/>
  <c r="H37" i="12"/>
  <c r="H39" i="12" l="1"/>
  <c r="G108" i="12"/>
  <c r="H108" i="12"/>
  <c r="I108" i="12"/>
  <c r="J108" i="12"/>
  <c r="K108" i="12"/>
  <c r="L108" i="12"/>
  <c r="M108" i="12"/>
  <c r="N108" i="12"/>
  <c r="O108" i="12"/>
  <c r="P108" i="12"/>
  <c r="Q108" i="12"/>
  <c r="R108" i="12"/>
  <c r="S108" i="12"/>
  <c r="T108" i="12"/>
  <c r="U108" i="12"/>
  <c r="V108" i="12"/>
  <c r="W108" i="12"/>
  <c r="X108" i="12"/>
  <c r="Y108" i="12"/>
  <c r="Z108" i="12"/>
  <c r="AA108" i="12"/>
  <c r="AB108" i="12"/>
  <c r="AC108" i="12"/>
  <c r="AD108" i="12"/>
  <c r="AE108" i="12"/>
  <c r="AF108" i="12"/>
  <c r="AG108" i="12"/>
  <c r="AH108" i="12"/>
  <c r="AI108" i="12"/>
  <c r="G90" i="12"/>
  <c r="H90" i="12"/>
  <c r="I90" i="12"/>
  <c r="J90" i="12"/>
  <c r="K90" i="12"/>
  <c r="L90" i="12"/>
  <c r="M90" i="12"/>
  <c r="N90" i="12"/>
  <c r="O90" i="12"/>
  <c r="P90" i="12"/>
  <c r="Q90" i="12"/>
  <c r="R90" i="12"/>
  <c r="S90" i="12"/>
  <c r="T90" i="12"/>
  <c r="U90" i="12"/>
  <c r="V90" i="12"/>
  <c r="W90" i="12"/>
  <c r="X90" i="12"/>
  <c r="Y90" i="12"/>
  <c r="Z90" i="12"/>
  <c r="AA90" i="12"/>
  <c r="AB90" i="12"/>
  <c r="AC90" i="12"/>
  <c r="AD90" i="12"/>
  <c r="AE90" i="12"/>
  <c r="AF90" i="12"/>
  <c r="AG90" i="12"/>
  <c r="AH90" i="12"/>
  <c r="AI90" i="12"/>
  <c r="H77" i="12"/>
  <c r="G77" i="12"/>
  <c r="E77" i="12"/>
  <c r="D77" i="12"/>
  <c r="H76" i="12"/>
  <c r="G76" i="12"/>
  <c r="E76" i="12"/>
  <c r="D76" i="12"/>
  <c r="D75" i="12"/>
  <c r="E75" i="12"/>
  <c r="D39" i="12"/>
  <c r="E42" i="12"/>
  <c r="E43" i="12" s="1"/>
  <c r="G39" i="12"/>
  <c r="D47" i="12"/>
  <c r="E47" i="12"/>
  <c r="G47" i="12"/>
  <c r="D53" i="12"/>
  <c r="D58" i="12"/>
  <c r="G75" i="12"/>
  <c r="H69" i="12"/>
  <c r="H41" i="10"/>
  <c r="I41" i="10" s="1"/>
  <c r="H47" i="12" l="1"/>
  <c r="D42" i="12"/>
  <c r="E69" i="12"/>
  <c r="D69" i="12"/>
  <c r="H42" i="12" l="1"/>
  <c r="D43" i="12"/>
  <c r="D73" i="12" s="1"/>
  <c r="D54" i="12"/>
  <c r="D70" i="12"/>
  <c r="E70" i="12"/>
  <c r="E73" i="12"/>
  <c r="E85" i="12" l="1"/>
  <c r="E91" i="12" s="1"/>
  <c r="E96" i="12" s="1"/>
  <c r="F85" i="12"/>
  <c r="F91" i="12" s="1"/>
  <c r="F96" i="12" s="1"/>
  <c r="F86" i="12"/>
  <c r="F92" i="12" s="1"/>
  <c r="F97" i="12" s="1"/>
  <c r="E86" i="12"/>
  <c r="E92" i="12" s="1"/>
  <c r="E97" i="12" s="1"/>
  <c r="E88" i="12"/>
  <c r="E94" i="12" s="1"/>
  <c r="E99" i="12" s="1"/>
  <c r="E87" i="12"/>
  <c r="E93" i="12" s="1"/>
  <c r="E98" i="12" s="1"/>
  <c r="F87" i="12"/>
  <c r="F93" i="12" s="1"/>
  <c r="F98" i="12" s="1"/>
  <c r="D71" i="12"/>
  <c r="D72" i="12" s="1"/>
  <c r="AB87" i="12"/>
  <c r="AB93" i="12" s="1"/>
  <c r="AB98" i="12" s="1"/>
  <c r="H43" i="12"/>
  <c r="H73" i="12" s="1"/>
  <c r="G41" i="12"/>
  <c r="H70" i="12"/>
  <c r="F104" i="12" s="1"/>
  <c r="F110" i="12" s="1"/>
  <c r="F115" i="12" s="1"/>
  <c r="H71" i="12"/>
  <c r="H72" i="12" s="1"/>
  <c r="E71" i="12"/>
  <c r="E72" i="12" s="1"/>
  <c r="AA87" i="12"/>
  <c r="AA93" i="12" s="1"/>
  <c r="AA98" i="12" s="1"/>
  <c r="G85" i="12"/>
  <c r="G91" i="12" s="1"/>
  <c r="G96" i="12" s="1"/>
  <c r="G87" i="12"/>
  <c r="G93" i="12" s="1"/>
  <c r="G98" i="12" s="1"/>
  <c r="T87" i="12"/>
  <c r="T93" i="12" s="1"/>
  <c r="T98" i="12" s="1"/>
  <c r="AH85" i="12"/>
  <c r="AH91" i="12" s="1"/>
  <c r="AH96" i="12" s="1"/>
  <c r="AH87" i="12"/>
  <c r="AH93" i="12" s="1"/>
  <c r="AH98" i="12" s="1"/>
  <c r="AF87" i="12"/>
  <c r="AF93" i="12" s="1"/>
  <c r="AF98" i="12" s="1"/>
  <c r="L87" i="12"/>
  <c r="L93" i="12" s="1"/>
  <c r="L98" i="12" s="1"/>
  <c r="AE85" i="12"/>
  <c r="AE91" i="12" s="1"/>
  <c r="AE96" i="12" s="1"/>
  <c r="AE87" i="12"/>
  <c r="AE93" i="12" s="1"/>
  <c r="AE98" i="12" s="1"/>
  <c r="Q87" i="12"/>
  <c r="Q93" i="12" s="1"/>
  <c r="Q98" i="12" s="1"/>
  <c r="W87" i="12"/>
  <c r="W93" i="12" s="1"/>
  <c r="W98" i="12" s="1"/>
  <c r="AD85" i="12"/>
  <c r="AD91" i="12" s="1"/>
  <c r="AD96" i="12" s="1"/>
  <c r="R87" i="12"/>
  <c r="R93" i="12" s="1"/>
  <c r="R98" i="12" s="1"/>
  <c r="AI87" i="12"/>
  <c r="AI93" i="12" s="1"/>
  <c r="AI98" i="12" s="1"/>
  <c r="J87" i="12"/>
  <c r="J93" i="12" s="1"/>
  <c r="J98" i="12" s="1"/>
  <c r="AD87" i="12"/>
  <c r="AD93" i="12" s="1"/>
  <c r="AD98" i="12" s="1"/>
  <c r="S87" i="12"/>
  <c r="S93" i="12" s="1"/>
  <c r="S98" i="12" s="1"/>
  <c r="P87" i="12"/>
  <c r="P93" i="12" s="1"/>
  <c r="P98" i="12" s="1"/>
  <c r="AG87" i="12"/>
  <c r="AG93" i="12" s="1"/>
  <c r="AG98" i="12" s="1"/>
  <c r="H87" i="12"/>
  <c r="H93" i="12" s="1"/>
  <c r="H98" i="12" s="1"/>
  <c r="AG85" i="12"/>
  <c r="AG91" i="12" s="1"/>
  <c r="AG96" i="12" s="1"/>
  <c r="Y87" i="12"/>
  <c r="Y93" i="12" s="1"/>
  <c r="Y98" i="12" s="1"/>
  <c r="M87" i="12"/>
  <c r="M93" i="12" s="1"/>
  <c r="M98" i="12" s="1"/>
  <c r="AI85" i="12"/>
  <c r="AI91" i="12" s="1"/>
  <c r="AI96" i="12" s="1"/>
  <c r="AF85" i="12"/>
  <c r="AF91" i="12" s="1"/>
  <c r="AF96" i="12" s="1"/>
  <c r="I87" i="12"/>
  <c r="I93" i="12" s="1"/>
  <c r="I98" i="12" s="1"/>
  <c r="O87" i="12"/>
  <c r="O93" i="12" s="1"/>
  <c r="O98" i="12" s="1"/>
  <c r="U87" i="12"/>
  <c r="U93" i="12" s="1"/>
  <c r="U98" i="12" s="1"/>
  <c r="H86" i="12"/>
  <c r="H92" i="12" s="1"/>
  <c r="H97" i="12" s="1"/>
  <c r="P86" i="12"/>
  <c r="P92" i="12" s="1"/>
  <c r="P97" i="12" s="1"/>
  <c r="X86" i="12"/>
  <c r="X92" i="12" s="1"/>
  <c r="X97" i="12" s="1"/>
  <c r="AF86" i="12"/>
  <c r="AF92" i="12" s="1"/>
  <c r="AF97" i="12" s="1"/>
  <c r="Y86" i="12"/>
  <c r="Y92" i="12" s="1"/>
  <c r="Y97" i="12" s="1"/>
  <c r="Q86" i="12"/>
  <c r="Q92" i="12" s="1"/>
  <c r="Q97" i="12" s="1"/>
  <c r="AG86" i="12"/>
  <c r="AG92" i="12" s="1"/>
  <c r="AG97" i="12" s="1"/>
  <c r="R86" i="12"/>
  <c r="R92" i="12" s="1"/>
  <c r="R97" i="12" s="1"/>
  <c r="Z86" i="12"/>
  <c r="Z92" i="12" s="1"/>
  <c r="Z97" i="12" s="1"/>
  <c r="S86" i="12"/>
  <c r="S92" i="12" s="1"/>
  <c r="S97" i="12" s="1"/>
  <c r="AA86" i="12"/>
  <c r="AA92" i="12" s="1"/>
  <c r="AA97" i="12" s="1"/>
  <c r="AI86" i="12"/>
  <c r="AI92" i="12" s="1"/>
  <c r="AI97" i="12" s="1"/>
  <c r="T86" i="12"/>
  <c r="T92" i="12" s="1"/>
  <c r="T97" i="12" s="1"/>
  <c r="AB86" i="12"/>
  <c r="AB92" i="12" s="1"/>
  <c r="AB97" i="12" s="1"/>
  <c r="W86" i="12"/>
  <c r="W92" i="12" s="1"/>
  <c r="W97" i="12" s="1"/>
  <c r="U86" i="12"/>
  <c r="U92" i="12" s="1"/>
  <c r="U97" i="12" s="1"/>
  <c r="AC86" i="12"/>
  <c r="AC92" i="12" s="1"/>
  <c r="AC97" i="12" s="1"/>
  <c r="O86" i="12"/>
  <c r="O92" i="12" s="1"/>
  <c r="O97" i="12" s="1"/>
  <c r="AH86" i="12"/>
  <c r="AH92" i="12" s="1"/>
  <c r="AH97" i="12" s="1"/>
  <c r="V86" i="12"/>
  <c r="V92" i="12" s="1"/>
  <c r="V97" i="12" s="1"/>
  <c r="AD86" i="12"/>
  <c r="AD92" i="12" s="1"/>
  <c r="AD97" i="12" s="1"/>
  <c r="G86" i="12"/>
  <c r="G92" i="12" s="1"/>
  <c r="G97" i="12" s="1"/>
  <c r="AE86" i="12"/>
  <c r="AE92" i="12" s="1"/>
  <c r="AE97" i="12" s="1"/>
  <c r="N87" i="12"/>
  <c r="N93" i="12" s="1"/>
  <c r="N98" i="12" s="1"/>
  <c r="Z87" i="12"/>
  <c r="Z93" i="12" s="1"/>
  <c r="Z98" i="12" s="1"/>
  <c r="J88" i="12"/>
  <c r="J94" i="12" s="1"/>
  <c r="J99" i="12" s="1"/>
  <c r="R88" i="12"/>
  <c r="R94" i="12" s="1"/>
  <c r="R99" i="12" s="1"/>
  <c r="Z88" i="12"/>
  <c r="Z94" i="12" s="1"/>
  <c r="Z99" i="12" s="1"/>
  <c r="AH88" i="12"/>
  <c r="AH94" i="12" s="1"/>
  <c r="AH99" i="12" s="1"/>
  <c r="K88" i="12"/>
  <c r="K94" i="12" s="1"/>
  <c r="K99" i="12" s="1"/>
  <c r="S88" i="12"/>
  <c r="S94" i="12" s="1"/>
  <c r="S99" i="12" s="1"/>
  <c r="AA88" i="12"/>
  <c r="AA94" i="12" s="1"/>
  <c r="AA99" i="12" s="1"/>
  <c r="AI88" i="12"/>
  <c r="AI94" i="12" s="1"/>
  <c r="AI99" i="12" s="1"/>
  <c r="AG88" i="12"/>
  <c r="AG94" i="12" s="1"/>
  <c r="AG99" i="12" s="1"/>
  <c r="L88" i="12"/>
  <c r="L94" i="12" s="1"/>
  <c r="L99" i="12" s="1"/>
  <c r="T88" i="12"/>
  <c r="T94" i="12" s="1"/>
  <c r="T99" i="12" s="1"/>
  <c r="AB88" i="12"/>
  <c r="AB94" i="12" s="1"/>
  <c r="AB99" i="12" s="1"/>
  <c r="M88" i="12"/>
  <c r="M94" i="12" s="1"/>
  <c r="M99" i="12" s="1"/>
  <c r="U88" i="12"/>
  <c r="U94" i="12" s="1"/>
  <c r="U99" i="12" s="1"/>
  <c r="AC88" i="12"/>
  <c r="AC94" i="12" s="1"/>
  <c r="AC99" i="12" s="1"/>
  <c r="Q88" i="12"/>
  <c r="Q94" i="12" s="1"/>
  <c r="Q99" i="12" s="1"/>
  <c r="V88" i="12"/>
  <c r="V94" i="12" s="1"/>
  <c r="V99" i="12" s="1"/>
  <c r="AD88" i="12"/>
  <c r="AD94" i="12" s="1"/>
  <c r="AD99" i="12" s="1"/>
  <c r="Y88" i="12"/>
  <c r="Y94" i="12" s="1"/>
  <c r="Y99" i="12" s="1"/>
  <c r="G88" i="12"/>
  <c r="G94" i="12" s="1"/>
  <c r="G99" i="12" s="1"/>
  <c r="O88" i="12"/>
  <c r="O94" i="12" s="1"/>
  <c r="O99" i="12" s="1"/>
  <c r="W88" i="12"/>
  <c r="W94" i="12" s="1"/>
  <c r="W99" i="12" s="1"/>
  <c r="AE88" i="12"/>
  <c r="AE94" i="12" s="1"/>
  <c r="AE99" i="12" s="1"/>
  <c r="P88" i="12"/>
  <c r="P94" i="12" s="1"/>
  <c r="P99" i="12" s="1"/>
  <c r="X88" i="12"/>
  <c r="X94" i="12" s="1"/>
  <c r="X99" i="12" s="1"/>
  <c r="AF88" i="12"/>
  <c r="AF94" i="12" s="1"/>
  <c r="AF99" i="12" s="1"/>
  <c r="E104" i="12" l="1"/>
  <c r="E110" i="12" s="1"/>
  <c r="E115" i="12" s="1"/>
  <c r="E106" i="12"/>
  <c r="E112" i="12" s="1"/>
  <c r="E117" i="12" s="1"/>
  <c r="W104" i="12"/>
  <c r="W110" i="12" s="1"/>
  <c r="W115" i="12" s="1"/>
  <c r="AB106" i="12"/>
  <c r="AB112" i="12" s="1"/>
  <c r="AB117" i="12" s="1"/>
  <c r="Z104" i="12"/>
  <c r="Z110" i="12" s="1"/>
  <c r="Z115" i="12" s="1"/>
  <c r="Y104" i="12"/>
  <c r="Y110" i="12" s="1"/>
  <c r="Y115" i="12" s="1"/>
  <c r="AI106" i="12"/>
  <c r="AI112" i="12" s="1"/>
  <c r="AI117" i="12" s="1"/>
  <c r="AG106" i="12"/>
  <c r="AG112" i="12" s="1"/>
  <c r="AG117" i="12" s="1"/>
  <c r="V106" i="12"/>
  <c r="V112" i="12" s="1"/>
  <c r="V117" i="12" s="1"/>
  <c r="AH104" i="12"/>
  <c r="AH110" i="12" s="1"/>
  <c r="AH115" i="12" s="1"/>
  <c r="Q106" i="12"/>
  <c r="Q112" i="12" s="1"/>
  <c r="Q117" i="12" s="1"/>
  <c r="R106" i="12"/>
  <c r="R112" i="12" s="1"/>
  <c r="R117" i="12" s="1"/>
  <c r="AD106" i="12"/>
  <c r="AD112" i="12" s="1"/>
  <c r="AD117" i="12" s="1"/>
  <c r="H106" i="12"/>
  <c r="H112" i="12" s="1"/>
  <c r="H117" i="12" s="1"/>
  <c r="X106" i="12"/>
  <c r="X112" i="12" s="1"/>
  <c r="X117" i="12" s="1"/>
  <c r="I106" i="12"/>
  <c r="I112" i="12" s="1"/>
  <c r="I117" i="12" s="1"/>
  <c r="L106" i="12"/>
  <c r="L112" i="12" s="1"/>
  <c r="L117" i="12" s="1"/>
  <c r="AB104" i="12"/>
  <c r="AB110" i="12" s="1"/>
  <c r="AB115" i="12" s="1"/>
  <c r="K106" i="12"/>
  <c r="K112" i="12" s="1"/>
  <c r="K117" i="12" s="1"/>
  <c r="AA106" i="12"/>
  <c r="AA112" i="12" s="1"/>
  <c r="AA117" i="12" s="1"/>
  <c r="AC106" i="12"/>
  <c r="AC112" i="12" s="1"/>
  <c r="AC117" i="12" s="1"/>
  <c r="Y106" i="12"/>
  <c r="Y112" i="12" s="1"/>
  <c r="Y117" i="12" s="1"/>
  <c r="AE104" i="12"/>
  <c r="AE110" i="12" s="1"/>
  <c r="AE115" i="12" s="1"/>
  <c r="Z106" i="12"/>
  <c r="Z112" i="12" s="1"/>
  <c r="Z117" i="12" s="1"/>
  <c r="T106" i="12"/>
  <c r="T112" i="12" s="1"/>
  <c r="T117" i="12" s="1"/>
  <c r="AC104" i="12"/>
  <c r="AC110" i="12" s="1"/>
  <c r="AC115" i="12" s="1"/>
  <c r="G104" i="12"/>
  <c r="G110" i="12" s="1"/>
  <c r="G115" i="12" s="1"/>
  <c r="AG104" i="12"/>
  <c r="AG110" i="12" s="1"/>
  <c r="AG115" i="12" s="1"/>
  <c r="AI104" i="12"/>
  <c r="AI110" i="12" s="1"/>
  <c r="AI115" i="12" s="1"/>
  <c r="U106" i="12"/>
  <c r="U112" i="12" s="1"/>
  <c r="U117" i="12" s="1"/>
  <c r="AD104" i="12"/>
  <c r="AD110" i="12" s="1"/>
  <c r="AD115" i="12" s="1"/>
  <c r="AE106" i="12"/>
  <c r="AE112" i="12" s="1"/>
  <c r="AE117" i="12" s="1"/>
  <c r="AH106" i="12"/>
  <c r="AH112" i="12" s="1"/>
  <c r="AH117" i="12" s="1"/>
  <c r="H104" i="12"/>
  <c r="H110" i="12" s="1"/>
  <c r="H115" i="12" s="1"/>
  <c r="AA104" i="12"/>
  <c r="AA110" i="12" s="1"/>
  <c r="AA115" i="12" s="1"/>
  <c r="U104" i="12"/>
  <c r="U110" i="12" s="1"/>
  <c r="U115" i="12" s="1"/>
  <c r="G106" i="12"/>
  <c r="G112" i="12" s="1"/>
  <c r="G117" i="12" s="1"/>
  <c r="T104" i="12"/>
  <c r="T110" i="12" s="1"/>
  <c r="T115" i="12" s="1"/>
  <c r="W106" i="12"/>
  <c r="W112" i="12" s="1"/>
  <c r="W117" i="12" s="1"/>
  <c r="O106" i="12"/>
  <c r="O112" i="12" s="1"/>
  <c r="O117" i="12" s="1"/>
  <c r="AF104" i="12"/>
  <c r="AF110" i="12" s="1"/>
  <c r="AF115" i="12" s="1"/>
  <c r="X104" i="12"/>
  <c r="X110" i="12" s="1"/>
  <c r="X115" i="12" s="1"/>
  <c r="M106" i="12"/>
  <c r="M112" i="12" s="1"/>
  <c r="M117" i="12" s="1"/>
  <c r="AF106" i="12"/>
  <c r="AF112" i="12" s="1"/>
  <c r="AF117" i="12" s="1"/>
  <c r="V104" i="12"/>
  <c r="V110" i="12" s="1"/>
  <c r="V115" i="12" s="1"/>
  <c r="J106" i="12"/>
  <c r="J112" i="12" s="1"/>
  <c r="J117" i="12" s="1"/>
  <c r="G69" i="12"/>
  <c r="G42" i="12"/>
  <c r="G43" i="12" l="1"/>
  <c r="G73" i="12" s="1"/>
  <c r="G70" i="12"/>
  <c r="F103" i="12" s="1"/>
  <c r="F109" i="12" s="1"/>
  <c r="F114" i="12" s="1"/>
  <c r="G71" i="12"/>
  <c r="G72" i="12" s="1"/>
  <c r="E103" i="12" l="1"/>
  <c r="E109" i="12" s="1"/>
  <c r="E114" i="12" s="1"/>
  <c r="E105" i="12"/>
  <c r="E111" i="12" s="1"/>
  <c r="E116" i="12" s="1"/>
  <c r="F105" i="12"/>
  <c r="F111" i="12" s="1"/>
  <c r="F116" i="12" s="1"/>
  <c r="AI103" i="12"/>
  <c r="AI109" i="12" s="1"/>
  <c r="AI114" i="12" s="1"/>
  <c r="AG103" i="12"/>
  <c r="AG109" i="12" s="1"/>
  <c r="AG114" i="12" s="1"/>
  <c r="G103" i="12"/>
  <c r="G109" i="12" s="1"/>
  <c r="G114" i="12" s="1"/>
  <c r="AD103" i="12"/>
  <c r="AD109" i="12" s="1"/>
  <c r="AD114" i="12" s="1"/>
  <c r="Q105" i="12"/>
  <c r="Q111" i="12" s="1"/>
  <c r="Q116" i="12" s="1"/>
  <c r="U105" i="12"/>
  <c r="U111" i="12" s="1"/>
  <c r="U116" i="12" s="1"/>
  <c r="AE105" i="12"/>
  <c r="AE111" i="12" s="1"/>
  <c r="AE116" i="12" s="1"/>
  <c r="M105" i="12"/>
  <c r="M111" i="12" s="1"/>
  <c r="M116" i="12" s="1"/>
  <c r="Y105" i="12"/>
  <c r="Y111" i="12" s="1"/>
  <c r="Y116" i="12" s="1"/>
  <c r="J105" i="12"/>
  <c r="J111" i="12" s="1"/>
  <c r="J116" i="12" s="1"/>
  <c r="AG105" i="12"/>
  <c r="AG111" i="12" s="1"/>
  <c r="AG116" i="12" s="1"/>
  <c r="W105" i="12"/>
  <c r="W111" i="12" s="1"/>
  <c r="W116" i="12" s="1"/>
  <c r="AD105" i="12"/>
  <c r="AD111" i="12" s="1"/>
  <c r="AD116" i="12" s="1"/>
  <c r="O105" i="12"/>
  <c r="O111" i="12" s="1"/>
  <c r="O116" i="12" s="1"/>
  <c r="G105" i="12"/>
  <c r="G111" i="12" s="1"/>
  <c r="G116" i="12" s="1"/>
  <c r="AI105" i="12"/>
  <c r="AI111" i="12" s="1"/>
  <c r="AI116" i="12" s="1"/>
  <c r="AF105" i="12"/>
  <c r="AF111" i="12" s="1"/>
  <c r="AF116" i="12" s="1"/>
  <c r="L105" i="12"/>
  <c r="L111" i="12" s="1"/>
  <c r="L116" i="12" s="1"/>
  <c r="AH103" i="12"/>
  <c r="AH109" i="12" s="1"/>
  <c r="AH114" i="12" s="1"/>
  <c r="AE103" i="12"/>
  <c r="AE109" i="12" s="1"/>
  <c r="AE114" i="12" s="1"/>
  <c r="AF103" i="12"/>
  <c r="AF109" i="12" s="1"/>
  <c r="AF114" i="12" s="1"/>
  <c r="G74" i="12"/>
  <c r="C139" i="11"/>
  <c r="H40" i="10"/>
  <c r="I40" i="10" s="1"/>
  <c r="H39" i="10"/>
  <c r="I39" i="10" s="1"/>
  <c r="I38" i="10"/>
  <c r="H38" i="10"/>
  <c r="H37" i="10"/>
  <c r="I37" i="10" s="1"/>
  <c r="H36" i="10"/>
  <c r="I36" i="10" s="1"/>
  <c r="H35" i="10"/>
  <c r="I35" i="10" s="1"/>
  <c r="I34" i="10"/>
  <c r="H34" i="10"/>
  <c r="H33" i="10"/>
  <c r="I33" i="10" s="1"/>
  <c r="H32" i="10"/>
  <c r="I32" i="10" s="1"/>
  <c r="H31" i="10"/>
  <c r="I31" i="10" s="1"/>
  <c r="I30" i="10"/>
  <c r="H30" i="10"/>
  <c r="H29" i="10"/>
  <c r="I29" i="10" s="1"/>
  <c r="H28" i="10"/>
  <c r="I28" i="10" s="1"/>
  <c r="H27" i="10"/>
  <c r="I27" i="10" s="1"/>
  <c r="H26" i="10"/>
  <c r="I26" i="10" s="1"/>
  <c r="H25" i="10"/>
  <c r="I25" i="10" s="1"/>
  <c r="H24" i="10"/>
  <c r="I24" i="10" s="1"/>
  <c r="H23" i="10"/>
  <c r="I23" i="10" s="1"/>
  <c r="H22" i="10"/>
  <c r="I22" i="10" s="1"/>
  <c r="H21" i="10"/>
  <c r="I21" i="10" s="1"/>
  <c r="H20" i="10"/>
  <c r="I20" i="10" s="1"/>
  <c r="H19" i="10"/>
  <c r="I19" i="10" s="1"/>
  <c r="H18" i="10"/>
  <c r="I18" i="10" s="1"/>
  <c r="H17" i="10"/>
  <c r="I17" i="10" s="1"/>
  <c r="H16" i="10"/>
  <c r="I16" i="10" s="1"/>
  <c r="H15" i="10"/>
  <c r="I15" i="10" s="1"/>
  <c r="H14" i="10"/>
  <c r="I14" i="10" s="1"/>
  <c r="H13" i="10"/>
  <c r="I13" i="10" s="1"/>
  <c r="H12" i="10"/>
  <c r="I12" i="10" s="1"/>
  <c r="H11" i="10"/>
  <c r="I11" i="10" s="1"/>
  <c r="H10" i="10"/>
  <c r="I10" i="10" s="1"/>
  <c r="H9" i="10"/>
  <c r="I9" i="10" s="1"/>
  <c r="H8" i="10"/>
  <c r="I8" i="10" s="1"/>
  <c r="H7" i="10"/>
  <c r="I7" i="10" s="1"/>
  <c r="H6" i="10"/>
  <c r="I6" i="10" s="1"/>
  <c r="H5" i="10"/>
  <c r="I5" i="10" s="1"/>
  <c r="H4" i="10"/>
  <c r="I4" i="10" s="1"/>
  <c r="H3" i="10"/>
  <c r="I3" i="10" s="1"/>
  <c r="H2" i="10"/>
  <c r="I2" i="10" s="1"/>
  <c r="E74" i="12" l="1"/>
  <c r="H74" i="12"/>
  <c r="D78" i="12"/>
  <c r="D79" i="12"/>
  <c r="AC87" i="12" l="1"/>
  <c r="AC93" i="12" s="1"/>
  <c r="AC98" i="12" s="1"/>
  <c r="V87" i="12"/>
  <c r="V93" i="12" s="1"/>
  <c r="V98" i="12" s="1"/>
  <c r="I85" i="12"/>
  <c r="I91" i="12" s="1"/>
  <c r="I96" i="12" s="1"/>
  <c r="H85" i="12"/>
  <c r="H91" i="12" s="1"/>
  <c r="H96" i="12" s="1"/>
  <c r="Z85" i="12"/>
  <c r="Z91" i="12" s="1"/>
  <c r="Z96" i="12" s="1"/>
  <c r="AB85" i="12"/>
  <c r="AB91" i="12" s="1"/>
  <c r="AB96" i="12" s="1"/>
  <c r="AC85" i="12"/>
  <c r="AC91" i="12" s="1"/>
  <c r="AC96" i="12" s="1"/>
  <c r="AA85" i="12"/>
  <c r="AA91" i="12" s="1"/>
  <c r="AA96" i="12" s="1"/>
  <c r="Y85" i="12"/>
  <c r="Y91" i="12" s="1"/>
  <c r="Y96" i="12" s="1"/>
  <c r="X87" i="12"/>
  <c r="X93" i="12" s="1"/>
  <c r="X98" i="12" s="1"/>
  <c r="K87" i="12"/>
  <c r="K93" i="12" s="1"/>
  <c r="K98" i="12" s="1"/>
  <c r="E79" i="12"/>
  <c r="E78" i="12"/>
  <c r="H79" i="12"/>
  <c r="H78" i="12"/>
  <c r="V85" i="12"/>
  <c r="V91" i="12" s="1"/>
  <c r="V96" i="12" s="1"/>
  <c r="L85" i="12"/>
  <c r="L91" i="12" s="1"/>
  <c r="L96" i="12" s="1"/>
  <c r="X85" i="12"/>
  <c r="X91" i="12" s="1"/>
  <c r="X96" i="12" s="1"/>
  <c r="J85" i="12"/>
  <c r="J91" i="12" s="1"/>
  <c r="J96" i="12" s="1"/>
  <c r="R85" i="12"/>
  <c r="R91" i="12" s="1"/>
  <c r="R96" i="12" s="1"/>
  <c r="T85" i="12"/>
  <c r="T91" i="12" s="1"/>
  <c r="T96" i="12" s="1"/>
  <c r="P85" i="12"/>
  <c r="P91" i="12" s="1"/>
  <c r="P96" i="12" s="1"/>
  <c r="Q85" i="12"/>
  <c r="Q91" i="12" s="1"/>
  <c r="Q96" i="12" s="1"/>
  <c r="U85" i="12"/>
  <c r="U91" i="12" s="1"/>
  <c r="U96" i="12" s="1"/>
  <c r="M85" i="12"/>
  <c r="M91" i="12" s="1"/>
  <c r="M96" i="12" s="1"/>
  <c r="W85" i="12"/>
  <c r="W91" i="12" s="1"/>
  <c r="W96" i="12" s="1"/>
  <c r="N85" i="12"/>
  <c r="N91" i="12" s="1"/>
  <c r="N96" i="12" s="1"/>
  <c r="O85" i="12"/>
  <c r="O91" i="12" s="1"/>
  <c r="O96" i="12" s="1"/>
  <c r="S85" i="12"/>
  <c r="S91" i="12" s="1"/>
  <c r="S96" i="12" s="1"/>
  <c r="K85" i="12"/>
  <c r="K91" i="12" s="1"/>
  <c r="K96" i="12" s="1"/>
  <c r="G78" i="12"/>
  <c r="H103" i="12" s="1"/>
  <c r="H109" i="12" s="1"/>
  <c r="H114" i="12" s="1"/>
  <c r="G79" i="12"/>
  <c r="V105" i="12" s="1"/>
  <c r="V111" i="12" s="1"/>
  <c r="V116" i="12" s="1"/>
  <c r="I88" i="12" l="1"/>
  <c r="I94" i="12" s="1"/>
  <c r="I99" i="12" s="1"/>
  <c r="F88" i="12"/>
  <c r="F94" i="12" s="1"/>
  <c r="F99" i="12" s="1"/>
  <c r="S106" i="12"/>
  <c r="S112" i="12" s="1"/>
  <c r="S117" i="12" s="1"/>
  <c r="F106" i="12"/>
  <c r="F112" i="12" s="1"/>
  <c r="F117" i="12" s="1"/>
  <c r="Q104" i="12"/>
  <c r="Q110" i="12" s="1"/>
  <c r="Q115" i="12" s="1"/>
  <c r="R104" i="12"/>
  <c r="R110" i="12" s="1"/>
  <c r="R115" i="12" s="1"/>
  <c r="S104" i="12"/>
  <c r="S110" i="12" s="1"/>
  <c r="S115" i="12" s="1"/>
  <c r="K105" i="12"/>
  <c r="K111" i="12" s="1"/>
  <c r="K116" i="12" s="1"/>
  <c r="AH105" i="12"/>
  <c r="AH111" i="12" s="1"/>
  <c r="AH116" i="12" s="1"/>
  <c r="N105" i="12"/>
  <c r="N111" i="12" s="1"/>
  <c r="N116" i="12" s="1"/>
  <c r="I105" i="12"/>
  <c r="I111" i="12" s="1"/>
  <c r="I116" i="12" s="1"/>
  <c r="AA105" i="12"/>
  <c r="AA111" i="12" s="1"/>
  <c r="AA116" i="12" s="1"/>
  <c r="X105" i="12"/>
  <c r="X111" i="12" s="1"/>
  <c r="X116" i="12" s="1"/>
  <c r="Z105" i="12"/>
  <c r="Z111" i="12" s="1"/>
  <c r="Z116" i="12" s="1"/>
  <c r="AC105" i="12"/>
  <c r="AC111" i="12" s="1"/>
  <c r="AC116" i="12" s="1"/>
  <c r="W103" i="12"/>
  <c r="W109" i="12" s="1"/>
  <c r="W114" i="12" s="1"/>
  <c r="V103" i="12"/>
  <c r="V109" i="12" s="1"/>
  <c r="V114" i="12" s="1"/>
  <c r="U103" i="12"/>
  <c r="U109" i="12" s="1"/>
  <c r="U114" i="12" s="1"/>
  <c r="Y103" i="12"/>
  <c r="Y109" i="12" s="1"/>
  <c r="Y114" i="12" s="1"/>
  <c r="AB103" i="12"/>
  <c r="AB109" i="12" s="1"/>
  <c r="AB114" i="12" s="1"/>
  <c r="AA103" i="12"/>
  <c r="AA109" i="12" s="1"/>
  <c r="AA114" i="12" s="1"/>
  <c r="X103" i="12"/>
  <c r="X109" i="12" s="1"/>
  <c r="X114" i="12" s="1"/>
  <c r="Z103" i="12"/>
  <c r="Z109" i="12" s="1"/>
  <c r="Z114" i="12" s="1"/>
  <c r="AC103" i="12"/>
  <c r="AC109" i="12" s="1"/>
  <c r="AC114" i="12" s="1"/>
  <c r="R105" i="12"/>
  <c r="R111" i="12" s="1"/>
  <c r="R116" i="12" s="1"/>
  <c r="S105" i="12"/>
  <c r="S111" i="12" s="1"/>
  <c r="S116" i="12" s="1"/>
  <c r="H105" i="12"/>
  <c r="H111" i="12" s="1"/>
  <c r="H116" i="12" s="1"/>
  <c r="P105" i="12"/>
  <c r="P111" i="12" s="1"/>
  <c r="P116" i="12" s="1"/>
  <c r="N106" i="12"/>
  <c r="N112" i="12" s="1"/>
  <c r="N117" i="12" s="1"/>
  <c r="P106" i="12"/>
  <c r="P112" i="12" s="1"/>
  <c r="P117" i="12" s="1"/>
  <c r="T105" i="12"/>
  <c r="T111" i="12" s="1"/>
  <c r="T116" i="12" s="1"/>
  <c r="AB105" i="12"/>
  <c r="AB111" i="12" s="1"/>
  <c r="AB116" i="12" s="1"/>
  <c r="O104" i="12"/>
  <c r="O110" i="12" s="1"/>
  <c r="O115" i="12" s="1"/>
  <c r="P104" i="12"/>
  <c r="P110" i="12" s="1"/>
  <c r="P115" i="12" s="1"/>
  <c r="N88" i="12"/>
  <c r="N94" i="12" s="1"/>
  <c r="N99" i="12" s="1"/>
  <c r="H88" i="12"/>
  <c r="H94" i="12" s="1"/>
  <c r="H99" i="12" s="1"/>
  <c r="L103" i="12"/>
  <c r="L109" i="12" s="1"/>
  <c r="L114" i="12" s="1"/>
  <c r="T103" i="12"/>
  <c r="T109" i="12" s="1"/>
  <c r="T114" i="12" s="1"/>
  <c r="R103" i="12"/>
  <c r="R109" i="12" s="1"/>
  <c r="R114" i="12" s="1"/>
  <c r="P103" i="12"/>
  <c r="P109" i="12" s="1"/>
  <c r="P114" i="12" s="1"/>
  <c r="K103" i="12"/>
  <c r="K109" i="12" s="1"/>
  <c r="K114" i="12" s="1"/>
  <c r="I103" i="12"/>
  <c r="I109" i="12" s="1"/>
  <c r="I114" i="12" s="1"/>
  <c r="Q103" i="12"/>
  <c r="Q109" i="12" s="1"/>
  <c r="Q114" i="12" s="1"/>
  <c r="S103" i="12"/>
  <c r="S109" i="12" s="1"/>
  <c r="S114" i="12" s="1"/>
  <c r="J103" i="12"/>
  <c r="J109" i="12" s="1"/>
  <c r="J114" i="12" s="1"/>
  <c r="N103" i="12"/>
  <c r="N109" i="12" s="1"/>
  <c r="N114" i="12" s="1"/>
  <c r="M103" i="12"/>
  <c r="M109" i="12" s="1"/>
  <c r="M114" i="12" s="1"/>
  <c r="O103" i="12"/>
  <c r="O109" i="12" s="1"/>
  <c r="O114" i="12" s="1"/>
  <c r="I104" i="12"/>
  <c r="I110" i="12" s="1"/>
  <c r="I115" i="12" s="1"/>
  <c r="J104" i="12"/>
  <c r="J110" i="12" s="1"/>
  <c r="J115" i="12" s="1"/>
  <c r="K104" i="12"/>
  <c r="K110" i="12" s="1"/>
  <c r="K115" i="12" s="1"/>
  <c r="M104" i="12"/>
  <c r="M110" i="12" s="1"/>
  <c r="M115" i="12" s="1"/>
  <c r="N104" i="12"/>
  <c r="N110" i="12" s="1"/>
  <c r="N115" i="12" s="1"/>
  <c r="L104" i="12"/>
  <c r="L110" i="12" s="1"/>
  <c r="L115" i="12" s="1"/>
  <c r="N86" i="12"/>
  <c r="N92" i="12" s="1"/>
  <c r="N97" i="12" s="1"/>
  <c r="M86" i="12"/>
  <c r="M92" i="12" s="1"/>
  <c r="M97" i="12" s="1"/>
  <c r="K86" i="12"/>
  <c r="K92" i="12" s="1"/>
  <c r="K97" i="12" s="1"/>
  <c r="J86" i="12"/>
  <c r="J92" i="12" s="1"/>
  <c r="J97" i="12" s="1"/>
  <c r="I86" i="12"/>
  <c r="I92" i="12" s="1"/>
  <c r="I97" i="12" s="1"/>
  <c r="L86" i="12"/>
  <c r="L92" i="12" s="1"/>
  <c r="L97" i="12" s="1"/>
  <c r="F127" i="12" l="1"/>
  <c r="E132" i="12" l="1"/>
  <c r="J26"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 Cardona</author>
    <author>Gabe Mantegna</author>
  </authors>
  <commentList>
    <comment ref="C37" authorId="0" shapeId="0" xr:uid="{1C36B02A-97DE-49EF-A873-A317142D3125}">
      <text>
        <r>
          <rPr>
            <b/>
            <sz val="9"/>
            <color indexed="81"/>
            <rFont val="Tahoma"/>
            <charset val="1"/>
          </rPr>
          <t>Jen Cardona:</t>
        </r>
        <r>
          <rPr>
            <sz val="9"/>
            <color indexed="81"/>
            <rFont val="Tahoma"/>
            <charset val="1"/>
          </rPr>
          <t xml:space="preserve">
User-specified device lifetime should be used if at all possible, since the ARB average represents a wide range of devices.</t>
        </r>
      </text>
    </comment>
    <comment ref="D60" authorId="1" shapeId="0" xr:uid="{ADCE14CB-D332-406E-83F2-4E635EDC956A}">
      <text>
        <r>
          <rPr>
            <b/>
            <sz val="10"/>
            <color rgb="FF000000"/>
            <rFont val="Tahoma"/>
            <family val="2"/>
          </rPr>
          <t>Gabe Mantegna:</t>
        </r>
        <r>
          <rPr>
            <sz val="10"/>
            <color rgb="FF000000"/>
            <rFont val="Tahoma"/>
            <family val="2"/>
          </rPr>
          <t xml:space="preserve">
</t>
        </r>
        <r>
          <rPr>
            <sz val="10"/>
            <color rgb="FF000000"/>
            <rFont val="Tahoma"/>
            <family val="2"/>
          </rPr>
          <t>100-yr GWP is default value adopted by Commission. 20-yr GWP is an option for sensitivity analysis.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Gabe Mantegna</author>
    <author>Microsoft Office User</author>
  </authors>
  <commentList>
    <comment ref="A1" authorId="0" shapeId="0" xr:uid="{EB218D94-5A59-B649-9A67-D1C7096572FF}">
      <text>
        <r>
          <rPr>
            <b/>
            <sz val="9"/>
            <color rgb="FF000000"/>
            <rFont val="Tahoma"/>
            <family val="2"/>
          </rPr>
          <t>Gabe Mantegna:</t>
        </r>
        <r>
          <rPr>
            <sz val="9"/>
            <color rgb="FF000000"/>
            <rFont val="Tahoma"/>
            <family val="2"/>
          </rPr>
          <t xml:space="preserve">
</t>
        </r>
        <r>
          <rPr>
            <sz val="9"/>
            <color rgb="FF000000"/>
            <rFont val="Tahoma"/>
            <family val="2"/>
          </rPr>
          <t>This tab copied from ACC.</t>
        </r>
      </text>
    </comment>
    <comment ref="H1" authorId="1" shapeId="0" xr:uid="{8B31660C-7B1F-874B-BBCC-BB545B003436}">
      <text>
        <r>
          <rPr>
            <b/>
            <sz val="10"/>
            <color rgb="FF000000"/>
            <rFont val="Tahoma"/>
            <family val="2"/>
          </rPr>
          <t>Microsoft Office User:</t>
        </r>
        <r>
          <rPr>
            <sz val="10"/>
            <color rgb="FF000000"/>
            <rFont val="Tahoma"/>
            <family val="2"/>
          </rPr>
          <t xml:space="preserve">
</t>
        </r>
        <r>
          <rPr>
            <sz val="10"/>
            <color rgb="FF000000"/>
            <rFont val="Tahoma"/>
            <family val="2"/>
          </rPr>
          <t>Primary values for use from this tab. Equal to (q_ann,i * t_i + q_EOL,i * (1 - q_ann,i * t_EOL,i)) in documentation</t>
        </r>
      </text>
    </comment>
    <comment ref="I1" authorId="1" shapeId="0" xr:uid="{469270AC-667E-954B-B50A-7FE03ECA15BC}">
      <text>
        <r>
          <rPr>
            <b/>
            <sz val="10"/>
            <color rgb="FF000000"/>
            <rFont val="Tahoma"/>
            <family val="2"/>
          </rPr>
          <t>Microsoft Office User:</t>
        </r>
        <r>
          <rPr>
            <sz val="10"/>
            <color rgb="FF000000"/>
            <rFont val="Tahoma"/>
            <family val="2"/>
          </rPr>
          <t xml:space="preserve">
</t>
        </r>
        <r>
          <rPr>
            <sz val="10"/>
            <color rgb="FF000000"/>
            <rFont val="Tahoma"/>
            <family val="2"/>
          </rPr>
          <t>Illustrative only. Must use actual refrigerant charge for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Gabe Mantegna</author>
  </authors>
  <commentList>
    <comment ref="A1" authorId="0" shapeId="0" xr:uid="{5CCE748F-ADCD-C645-8699-90C3A6E12A96}">
      <text>
        <r>
          <rPr>
            <b/>
            <sz val="9"/>
            <color rgb="FF000000"/>
            <rFont val="Tahoma"/>
            <family val="2"/>
          </rPr>
          <t>Gabe Mantegna:</t>
        </r>
        <r>
          <rPr>
            <sz val="9"/>
            <color rgb="FF000000"/>
            <rFont val="Tahoma"/>
            <family val="2"/>
          </rPr>
          <t xml:space="preserve">
</t>
        </r>
        <r>
          <rPr>
            <sz val="9"/>
            <color rgb="FF000000"/>
            <rFont val="Tahoma"/>
            <family val="2"/>
          </rPr>
          <t>This tab copied from ACC.</t>
        </r>
      </text>
    </comment>
  </commentList>
</comments>
</file>

<file path=xl/sharedStrings.xml><?xml version="1.0" encoding="utf-8"?>
<sst xmlns="http://schemas.openxmlformats.org/spreadsheetml/2006/main" count="612" uniqueCount="528">
  <si>
    <t>Cell Color Coding</t>
  </si>
  <si>
    <t>Calculated Input</t>
  </si>
  <si>
    <t>Lookup Formula</t>
  </si>
  <si>
    <t>Final Outputs</t>
  </si>
  <si>
    <t>Input Value</t>
  </si>
  <si>
    <t>Notes</t>
  </si>
  <si>
    <t>Device type</t>
  </si>
  <si>
    <t>Sector</t>
  </si>
  <si>
    <t>Average lifetime (years)</t>
  </si>
  <si>
    <t>Average charge size (amount of refrigerant) in lbs. per unit</t>
  </si>
  <si>
    <t>Average annual leak rate (q_ann)</t>
  </si>
  <si>
    <t>Average end-of-life loss rate of remaining refrigerant (q_EOL)</t>
  </si>
  <si>
    <t>Number of years prior to EOL with no "top-off" refrigerant added to replace full charge (t_EOL)</t>
  </si>
  <si>
    <t>Percentage of refrigerant charge lost during lifetime</t>
  </si>
  <si>
    <t>Mass of refrigerant lost during lifetime for average unit (lbs)</t>
  </si>
  <si>
    <t>Stationary Refrigeration</t>
  </si>
  <si>
    <t xml:space="preserve">Large retail food refrigeration 2,000 lbs. + </t>
  </si>
  <si>
    <t xml:space="preserve">Medium retail food refrigeration 200-2,000 lbs. </t>
  </si>
  <si>
    <t xml:space="preserve">Small retail food refrigeration 50-200 lbs. </t>
  </si>
  <si>
    <t>Sub-small retail food refrigeration &lt; 50 lbs.</t>
  </si>
  <si>
    <t xml:space="preserve">Large commercial refrigeration 2,000 lbs. + </t>
  </si>
  <si>
    <t xml:space="preserve">Medium commercial refrigeration 200-2,000 lbs. </t>
  </si>
  <si>
    <t xml:space="preserve">Small commercial refrigeration 50-200 lbs. </t>
  </si>
  <si>
    <t>Sub-small commercial refrigeration &lt; 50 lbs.</t>
  </si>
  <si>
    <t>Large cold storage 2,000 lbs. +</t>
  </si>
  <si>
    <t>Medium cold storage 200-2,000 lbs.</t>
  </si>
  <si>
    <t>Small cold storage 50-200 lbs.</t>
  </si>
  <si>
    <t>Large industrial process cooling 2,000 lbs. +</t>
  </si>
  <si>
    <t>Medium industrial process cooling 200-2,000 lbs.</t>
  </si>
  <si>
    <t>Small industrial process cooling 50-200 lbs.</t>
  </si>
  <si>
    <t>Stand alone (self-contained) refrig units</t>
  </si>
  <si>
    <t>Refrigerated Food Processing and Dispensing Equipment</t>
  </si>
  <si>
    <t>Commercial Ice Machines</t>
  </si>
  <si>
    <t>Water Coolers - Drinking Fountains</t>
  </si>
  <si>
    <t>Refrigerated vending machines</t>
  </si>
  <si>
    <t>Heat Pump Water Heaters</t>
  </si>
  <si>
    <t>Heat Pump Clothes Dryers</t>
  </si>
  <si>
    <t>Household refrigerator freezer</t>
  </si>
  <si>
    <t>Stationary Air-conditioning</t>
  </si>
  <si>
    <t>Large Chiller 2,000 lbs. +</t>
  </si>
  <si>
    <t>Medium Chiller 200-2,000 lbs.</t>
  </si>
  <si>
    <t>Commercial Unitary AC 50-200 lbs., &gt; 135,000 BTUh size</t>
  </si>
  <si>
    <t>Commercial Unitary AC, &lt; 50-lbs., &lt; 135,000 BTUh size (includes smaller "residential-type" central AC and heat pumps)</t>
  </si>
  <si>
    <t>Window/Room AC and PTAC Units, commercial</t>
  </si>
  <si>
    <t>Residential Unitary AC</t>
  </si>
  <si>
    <t>Residential Heat Pumps</t>
  </si>
  <si>
    <t>Window/Room/Wall AC and Packaged Terminal AC (PTAC) Units, residential</t>
  </si>
  <si>
    <t>Portable AC</t>
  </si>
  <si>
    <t>Dehumidifiers</t>
  </si>
  <si>
    <t>MVAC and Transport Refrigeration</t>
  </si>
  <si>
    <t>Mobile Vehicle AC (MVAC) Light Duty (LD)</t>
  </si>
  <si>
    <t>MVAC Heavy Duty (HD) (non-bus)</t>
  </si>
  <si>
    <t>MVAC Bus</t>
  </si>
  <si>
    <t>MVAC Off-Road</t>
  </si>
  <si>
    <t>Transport Refrigerated Units (TRUs)</t>
  </si>
  <si>
    <t>Refrigerated Shipping Containers</t>
  </si>
  <si>
    <t>Ships</t>
  </si>
  <si>
    <t>Common name of refrigerant/GHG</t>
  </si>
  <si>
    <t xml:space="preserve">Full Name </t>
  </si>
  <si>
    <t>Atmospheric Life Time in Years</t>
  </si>
  <si>
    <t>100-year GWP Values from IPCC Fourth Assessment Report (AR4) (2007)</t>
  </si>
  <si>
    <t>20-year GWP Values from IPCC Fourth Assessment Report (AR4) (2007)</t>
  </si>
  <si>
    <t>CFC-11</t>
  </si>
  <si>
    <r>
      <t>Trichlorofluoromethane (CCl</t>
    </r>
    <r>
      <rPr>
        <vertAlign val="subscript"/>
        <sz val="10"/>
        <rFont val="Arial"/>
        <family val="2"/>
      </rPr>
      <t>3</t>
    </r>
    <r>
      <rPr>
        <sz val="11"/>
        <color theme="1"/>
        <rFont val="Calibri"/>
        <family val="2"/>
        <scheme val="minor"/>
      </rPr>
      <t>F)</t>
    </r>
  </si>
  <si>
    <t>CFC-12</t>
  </si>
  <si>
    <r>
      <t>Dichlorodifluoromethane (CCl</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 xml:space="preserve">) </t>
    </r>
  </si>
  <si>
    <t>CFC-13</t>
  </si>
  <si>
    <r>
      <t>Chlorotrifluoromethane (CClF</t>
    </r>
    <r>
      <rPr>
        <vertAlign val="subscript"/>
        <sz val="10"/>
        <rFont val="Arial"/>
        <family val="2"/>
      </rPr>
      <t>3</t>
    </r>
    <r>
      <rPr>
        <sz val="11"/>
        <color theme="1"/>
        <rFont val="Calibri"/>
        <family val="2"/>
        <scheme val="minor"/>
      </rPr>
      <t>)</t>
    </r>
  </si>
  <si>
    <t>CFC-113</t>
  </si>
  <si>
    <r>
      <t>1,1,2-Trichlorotrifluoroethane (C</t>
    </r>
    <r>
      <rPr>
        <vertAlign val="subscript"/>
        <sz val="10"/>
        <rFont val="Arial"/>
        <family val="2"/>
      </rPr>
      <t>2</t>
    </r>
    <r>
      <rPr>
        <sz val="11"/>
        <color theme="1"/>
        <rFont val="Calibri"/>
        <family val="2"/>
        <scheme val="minor"/>
      </rPr>
      <t>F</t>
    </r>
    <r>
      <rPr>
        <vertAlign val="subscript"/>
        <sz val="10"/>
        <rFont val="Arial"/>
        <family val="2"/>
      </rPr>
      <t>3</t>
    </r>
    <r>
      <rPr>
        <sz val="11"/>
        <color theme="1"/>
        <rFont val="Calibri"/>
        <family val="2"/>
        <scheme val="minor"/>
      </rPr>
      <t>Cl</t>
    </r>
    <r>
      <rPr>
        <vertAlign val="subscript"/>
        <sz val="10"/>
        <rFont val="Arial"/>
        <family val="2"/>
      </rPr>
      <t>3</t>
    </r>
    <r>
      <rPr>
        <sz val="11"/>
        <color theme="1"/>
        <rFont val="Calibri"/>
        <family val="2"/>
        <scheme val="minor"/>
      </rPr>
      <t xml:space="preserve">)    </t>
    </r>
  </si>
  <si>
    <t>CFC-114</t>
  </si>
  <si>
    <r>
      <t>Dichlorotetrafluoroethane (C</t>
    </r>
    <r>
      <rPr>
        <vertAlign val="subscript"/>
        <sz val="10"/>
        <rFont val="Arial"/>
        <family val="2"/>
      </rPr>
      <t>2</t>
    </r>
    <r>
      <rPr>
        <sz val="11"/>
        <color theme="1"/>
        <rFont val="Calibri"/>
        <family val="2"/>
        <scheme val="minor"/>
      </rPr>
      <t>F</t>
    </r>
    <r>
      <rPr>
        <vertAlign val="subscript"/>
        <sz val="10"/>
        <rFont val="Arial"/>
        <family val="2"/>
      </rPr>
      <t>4</t>
    </r>
    <r>
      <rPr>
        <sz val="11"/>
        <color theme="1"/>
        <rFont val="Calibri"/>
        <family val="2"/>
        <scheme val="minor"/>
      </rPr>
      <t>Cl</t>
    </r>
    <r>
      <rPr>
        <vertAlign val="subscript"/>
        <sz val="10"/>
        <rFont val="Arial"/>
        <family val="2"/>
      </rPr>
      <t>2</t>
    </r>
    <r>
      <rPr>
        <sz val="11"/>
        <color theme="1"/>
        <rFont val="Calibri"/>
        <family val="2"/>
        <scheme val="minor"/>
      </rPr>
      <t>)</t>
    </r>
  </si>
  <si>
    <t>CFC-115</t>
  </si>
  <si>
    <r>
      <t>Monochloropentafluoroethane (C</t>
    </r>
    <r>
      <rPr>
        <vertAlign val="subscript"/>
        <sz val="10"/>
        <rFont val="Arial"/>
        <family val="2"/>
      </rPr>
      <t>2</t>
    </r>
    <r>
      <rPr>
        <sz val="11"/>
        <color theme="1"/>
        <rFont val="Calibri"/>
        <family val="2"/>
        <scheme val="minor"/>
      </rPr>
      <t>F</t>
    </r>
    <r>
      <rPr>
        <vertAlign val="subscript"/>
        <sz val="10"/>
        <rFont val="Arial"/>
        <family val="2"/>
      </rPr>
      <t>5</t>
    </r>
    <r>
      <rPr>
        <sz val="11"/>
        <color theme="1"/>
        <rFont val="Calibri"/>
        <family val="2"/>
        <scheme val="minor"/>
      </rPr>
      <t>Cl)</t>
    </r>
  </si>
  <si>
    <t>Halon 1211</t>
  </si>
  <si>
    <r>
      <t>Bromochlorodifluoromethane (CF</t>
    </r>
    <r>
      <rPr>
        <vertAlign val="subscript"/>
        <sz val="10"/>
        <rFont val="Arial"/>
        <family val="2"/>
      </rPr>
      <t>2</t>
    </r>
    <r>
      <rPr>
        <sz val="11"/>
        <color theme="1"/>
        <rFont val="Calibri"/>
        <family val="2"/>
        <scheme val="minor"/>
      </rPr>
      <t>ClBr)</t>
    </r>
  </si>
  <si>
    <t>Halon 1301</t>
  </si>
  <si>
    <r>
      <t>Bromotrifluoromethane (CF</t>
    </r>
    <r>
      <rPr>
        <vertAlign val="subscript"/>
        <sz val="10"/>
        <rFont val="Arial"/>
        <family val="2"/>
      </rPr>
      <t>3</t>
    </r>
    <r>
      <rPr>
        <sz val="11"/>
        <color theme="1"/>
        <rFont val="Calibri"/>
        <family val="2"/>
        <scheme val="minor"/>
      </rPr>
      <t>Br)</t>
    </r>
  </si>
  <si>
    <t>Halon 2402</t>
  </si>
  <si>
    <r>
      <t>Dibromotetrafluoroethane (C</t>
    </r>
    <r>
      <rPr>
        <vertAlign val="subscript"/>
        <sz val="10"/>
        <rFont val="Arial"/>
        <family val="2"/>
      </rPr>
      <t>2</t>
    </r>
    <r>
      <rPr>
        <sz val="11"/>
        <color theme="1"/>
        <rFont val="Calibri"/>
        <family val="2"/>
        <scheme val="minor"/>
      </rPr>
      <t>F</t>
    </r>
    <r>
      <rPr>
        <vertAlign val="subscript"/>
        <sz val="10"/>
        <rFont val="Arial"/>
        <family val="2"/>
      </rPr>
      <t>4</t>
    </r>
    <r>
      <rPr>
        <sz val="11"/>
        <color theme="1"/>
        <rFont val="Calibri"/>
        <family val="2"/>
        <scheme val="minor"/>
      </rPr>
      <t>Br</t>
    </r>
    <r>
      <rPr>
        <vertAlign val="subscript"/>
        <sz val="10"/>
        <rFont val="Arial"/>
        <family val="2"/>
      </rPr>
      <t>2</t>
    </r>
    <r>
      <rPr>
        <sz val="11"/>
        <color theme="1"/>
        <rFont val="Calibri"/>
        <family val="2"/>
        <scheme val="minor"/>
      </rPr>
      <t>)</t>
    </r>
  </si>
  <si>
    <t>Carbon tetrachloride</t>
  </si>
  <si>
    <r>
      <t>Carbon tetrachloride (CCl</t>
    </r>
    <r>
      <rPr>
        <vertAlign val="subscript"/>
        <sz val="10"/>
        <rFont val="Arial"/>
        <family val="2"/>
      </rPr>
      <t>4</t>
    </r>
    <r>
      <rPr>
        <sz val="11"/>
        <color theme="1"/>
        <rFont val="Calibri"/>
        <family val="2"/>
        <scheme val="minor"/>
      </rPr>
      <t>)</t>
    </r>
  </si>
  <si>
    <t>Methyl bromide</t>
  </si>
  <si>
    <r>
      <t>Methyl bromide (CH</t>
    </r>
    <r>
      <rPr>
        <vertAlign val="subscript"/>
        <sz val="10"/>
        <rFont val="Arial"/>
        <family val="2"/>
      </rPr>
      <t>3</t>
    </r>
    <r>
      <rPr>
        <sz val="11"/>
        <color theme="1"/>
        <rFont val="Calibri"/>
        <family val="2"/>
        <scheme val="minor"/>
      </rPr>
      <t>Br)</t>
    </r>
  </si>
  <si>
    <t>Methyl chloroform (R-140a)</t>
  </si>
  <si>
    <r>
      <t>1,1,1-trichloroethane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Cl</t>
    </r>
    <r>
      <rPr>
        <vertAlign val="subscript"/>
        <sz val="10"/>
        <rFont val="Arial"/>
        <family val="2"/>
      </rPr>
      <t>3</t>
    </r>
    <r>
      <rPr>
        <sz val="11"/>
        <color theme="1"/>
        <rFont val="Calibri"/>
        <family val="2"/>
        <scheme val="minor"/>
      </rPr>
      <t>)</t>
    </r>
  </si>
  <si>
    <t>Methylene chloride</t>
  </si>
  <si>
    <r>
      <t>Dichloromethane (CH</t>
    </r>
    <r>
      <rPr>
        <vertAlign val="subscript"/>
        <sz val="10"/>
        <rFont val="Arial"/>
        <family val="2"/>
      </rPr>
      <t>2</t>
    </r>
    <r>
      <rPr>
        <sz val="11"/>
        <color theme="1"/>
        <rFont val="Calibri"/>
        <family val="2"/>
        <scheme val="minor"/>
      </rPr>
      <t>Cl</t>
    </r>
    <r>
      <rPr>
        <vertAlign val="subscript"/>
        <sz val="10"/>
        <rFont val="Arial"/>
        <family val="2"/>
      </rPr>
      <t>2</t>
    </r>
    <r>
      <rPr>
        <sz val="11"/>
        <color theme="1"/>
        <rFont val="Calibri"/>
        <family val="2"/>
        <scheme val="minor"/>
      </rPr>
      <t>)</t>
    </r>
  </si>
  <si>
    <t>HCFC-21</t>
  </si>
  <si>
    <r>
      <t>Dichlorofluoromethane (CHFCl</t>
    </r>
    <r>
      <rPr>
        <vertAlign val="subscript"/>
        <sz val="10"/>
        <rFont val="Arial"/>
        <family val="2"/>
      </rPr>
      <t>2</t>
    </r>
    <r>
      <rPr>
        <sz val="10"/>
        <rFont val="Arial"/>
        <family val="2"/>
      </rPr>
      <t>)</t>
    </r>
  </si>
  <si>
    <t>HCFC-22</t>
  </si>
  <si>
    <r>
      <t>Monochlorodifluoromethane (CHClF</t>
    </r>
    <r>
      <rPr>
        <vertAlign val="subscript"/>
        <sz val="10"/>
        <rFont val="Arial"/>
        <family val="2"/>
      </rPr>
      <t>2</t>
    </r>
    <r>
      <rPr>
        <sz val="11"/>
        <color theme="1"/>
        <rFont val="Calibri"/>
        <family val="2"/>
        <scheme val="minor"/>
      </rPr>
      <t>)</t>
    </r>
  </si>
  <si>
    <t>HCFC-123</t>
  </si>
  <si>
    <r>
      <t>Dichlorotrifluoroethane (C</t>
    </r>
    <r>
      <rPr>
        <vertAlign val="subscript"/>
        <sz val="10"/>
        <rFont val="Arial"/>
        <family val="2"/>
      </rPr>
      <t>2</t>
    </r>
    <r>
      <rPr>
        <sz val="11"/>
        <color theme="1"/>
        <rFont val="Calibri"/>
        <family val="2"/>
        <scheme val="minor"/>
      </rPr>
      <t>HF</t>
    </r>
    <r>
      <rPr>
        <vertAlign val="subscript"/>
        <sz val="10"/>
        <rFont val="Arial"/>
        <family val="2"/>
      </rPr>
      <t>3</t>
    </r>
    <r>
      <rPr>
        <sz val="11"/>
        <color theme="1"/>
        <rFont val="Calibri"/>
        <family val="2"/>
        <scheme val="minor"/>
      </rPr>
      <t>Cl</t>
    </r>
    <r>
      <rPr>
        <vertAlign val="subscript"/>
        <sz val="10"/>
        <rFont val="Arial"/>
        <family val="2"/>
      </rPr>
      <t>2</t>
    </r>
    <r>
      <rPr>
        <sz val="11"/>
        <color theme="1"/>
        <rFont val="Calibri"/>
        <family val="2"/>
        <scheme val="minor"/>
      </rPr>
      <t>)</t>
    </r>
  </si>
  <si>
    <t>HCFC-124</t>
  </si>
  <si>
    <r>
      <t>Monochlorotetrafluoroethane (C</t>
    </r>
    <r>
      <rPr>
        <vertAlign val="subscript"/>
        <sz val="10"/>
        <rFont val="Arial"/>
        <family val="2"/>
      </rPr>
      <t>2</t>
    </r>
    <r>
      <rPr>
        <sz val="11"/>
        <color theme="1"/>
        <rFont val="Calibri"/>
        <family val="2"/>
        <scheme val="minor"/>
      </rPr>
      <t>HF</t>
    </r>
    <r>
      <rPr>
        <vertAlign val="subscript"/>
        <sz val="10"/>
        <rFont val="Arial"/>
        <family val="2"/>
      </rPr>
      <t>4</t>
    </r>
    <r>
      <rPr>
        <sz val="11"/>
        <color theme="1"/>
        <rFont val="Calibri"/>
        <family val="2"/>
        <scheme val="minor"/>
      </rPr>
      <t>Cl)</t>
    </r>
  </si>
  <si>
    <t>HCFC-141b</t>
  </si>
  <si>
    <r>
      <t>Dichlorofluoroethane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FCl</t>
    </r>
    <r>
      <rPr>
        <vertAlign val="subscript"/>
        <sz val="10"/>
        <rFont val="Arial"/>
        <family val="2"/>
      </rPr>
      <t>2</t>
    </r>
    <r>
      <rPr>
        <sz val="11"/>
        <color theme="1"/>
        <rFont val="Calibri"/>
        <family val="2"/>
        <scheme val="minor"/>
      </rPr>
      <t>)</t>
    </r>
  </si>
  <si>
    <t>HCFC-142b</t>
  </si>
  <si>
    <r>
      <t>Monochlorodifluoroethane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2</t>
    </r>
    <r>
      <rPr>
        <sz val="11"/>
        <color theme="1"/>
        <rFont val="Calibri"/>
        <family val="2"/>
        <scheme val="minor"/>
      </rPr>
      <t>Cl)</t>
    </r>
  </si>
  <si>
    <t>HCFC-225ca</t>
  </si>
  <si>
    <r>
      <t>Dichloropentafluoropropane (C</t>
    </r>
    <r>
      <rPr>
        <vertAlign val="subscript"/>
        <sz val="10"/>
        <rFont val="Arial"/>
        <family val="2"/>
      </rPr>
      <t>3</t>
    </r>
    <r>
      <rPr>
        <sz val="11"/>
        <color theme="1"/>
        <rFont val="Calibri"/>
        <family val="2"/>
        <scheme val="minor"/>
      </rPr>
      <t>HF</t>
    </r>
    <r>
      <rPr>
        <vertAlign val="subscript"/>
        <sz val="10"/>
        <rFont val="Arial"/>
        <family val="2"/>
      </rPr>
      <t>5</t>
    </r>
    <r>
      <rPr>
        <sz val="11"/>
        <color theme="1"/>
        <rFont val="Calibri"/>
        <family val="2"/>
        <scheme val="minor"/>
      </rPr>
      <t>Cl</t>
    </r>
    <r>
      <rPr>
        <vertAlign val="subscript"/>
        <sz val="10"/>
        <rFont val="Arial"/>
        <family val="2"/>
      </rPr>
      <t>2</t>
    </r>
    <r>
      <rPr>
        <sz val="11"/>
        <color theme="1"/>
        <rFont val="Calibri"/>
        <family val="2"/>
        <scheme val="minor"/>
      </rPr>
      <t>)</t>
    </r>
  </si>
  <si>
    <t>HCFC-225cb</t>
  </si>
  <si>
    <r>
      <t>Dichloropentafluoropropane (CHClFCF</t>
    </r>
    <r>
      <rPr>
        <vertAlign val="subscript"/>
        <sz val="10"/>
        <rFont val="Arial"/>
        <family val="2"/>
      </rPr>
      <t>2</t>
    </r>
    <r>
      <rPr>
        <sz val="11"/>
        <color theme="1"/>
        <rFont val="Calibri"/>
        <family val="2"/>
        <scheme val="minor"/>
      </rPr>
      <t>CClF</t>
    </r>
    <r>
      <rPr>
        <vertAlign val="subscript"/>
        <sz val="10"/>
        <rFont val="Arial"/>
        <family val="2"/>
      </rPr>
      <t>2</t>
    </r>
    <r>
      <rPr>
        <sz val="11"/>
        <color theme="1"/>
        <rFont val="Calibri"/>
        <family val="2"/>
        <scheme val="minor"/>
      </rPr>
      <t>)</t>
    </r>
  </si>
  <si>
    <t>Carbon Dioxide</t>
  </si>
  <si>
    <r>
      <t>Carbon Dioxide (CO</t>
    </r>
    <r>
      <rPr>
        <vertAlign val="subscript"/>
        <sz val="10"/>
        <rFont val="Arial"/>
        <family val="2"/>
      </rPr>
      <t>2</t>
    </r>
    <r>
      <rPr>
        <sz val="11"/>
        <color theme="1"/>
        <rFont val="Calibri"/>
        <family val="2"/>
        <scheme val="minor"/>
      </rPr>
      <t>)</t>
    </r>
  </si>
  <si>
    <t>50-200</t>
  </si>
  <si>
    <t>Methane</t>
  </si>
  <si>
    <r>
      <t>Methane (CH</t>
    </r>
    <r>
      <rPr>
        <vertAlign val="subscript"/>
        <sz val="10"/>
        <rFont val="Arial"/>
        <family val="2"/>
      </rPr>
      <t>4</t>
    </r>
    <r>
      <rPr>
        <sz val="11"/>
        <color theme="1"/>
        <rFont val="Calibri"/>
        <family val="2"/>
        <scheme val="minor"/>
      </rPr>
      <t>)</t>
    </r>
  </si>
  <si>
    <t>Nitrous Oxide</t>
  </si>
  <si>
    <r>
      <t>Nitrous Oxide (N</t>
    </r>
    <r>
      <rPr>
        <vertAlign val="subscript"/>
        <sz val="10"/>
        <rFont val="Arial"/>
        <family val="2"/>
      </rPr>
      <t>2</t>
    </r>
    <r>
      <rPr>
        <sz val="11"/>
        <color theme="1"/>
        <rFont val="Calibri"/>
        <family val="2"/>
        <scheme val="minor"/>
      </rPr>
      <t>O)</t>
    </r>
  </si>
  <si>
    <t>HFC-23</t>
  </si>
  <si>
    <r>
      <t>Trifluoromethane (CHF</t>
    </r>
    <r>
      <rPr>
        <vertAlign val="subscript"/>
        <sz val="10"/>
        <rFont val="Arial"/>
        <family val="2"/>
      </rPr>
      <t>3</t>
    </r>
    <r>
      <rPr>
        <sz val="11"/>
        <color theme="1"/>
        <rFont val="Calibri"/>
        <family val="2"/>
        <scheme val="minor"/>
      </rPr>
      <t xml:space="preserve">) </t>
    </r>
  </si>
  <si>
    <t>HFC-32</t>
  </si>
  <si>
    <r>
      <t>Difluoromethane (CH</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 xml:space="preserve">) </t>
    </r>
  </si>
  <si>
    <t>HFC-125</t>
  </si>
  <si>
    <r>
      <t>Pentafluoroethane (C</t>
    </r>
    <r>
      <rPr>
        <vertAlign val="subscript"/>
        <sz val="10"/>
        <rFont val="Arial"/>
        <family val="2"/>
      </rPr>
      <t>2</t>
    </r>
    <r>
      <rPr>
        <sz val="11"/>
        <color theme="1"/>
        <rFont val="Calibri"/>
        <family val="2"/>
        <scheme val="minor"/>
      </rPr>
      <t>HF</t>
    </r>
    <r>
      <rPr>
        <vertAlign val="subscript"/>
        <sz val="10"/>
        <rFont val="Arial"/>
        <family val="2"/>
      </rPr>
      <t>5</t>
    </r>
    <r>
      <rPr>
        <sz val="11"/>
        <color theme="1"/>
        <rFont val="Calibri"/>
        <family val="2"/>
        <scheme val="minor"/>
      </rPr>
      <t>)</t>
    </r>
  </si>
  <si>
    <t>HFC-134a</t>
  </si>
  <si>
    <r>
      <t>1,1,1,2-Tetrafluoroethane (CH</t>
    </r>
    <r>
      <rPr>
        <vertAlign val="subscript"/>
        <sz val="10"/>
        <rFont val="Arial"/>
        <family val="2"/>
      </rPr>
      <t>2</t>
    </r>
    <r>
      <rPr>
        <sz val="11"/>
        <color theme="1"/>
        <rFont val="Calibri"/>
        <family val="2"/>
        <scheme val="minor"/>
      </rPr>
      <t>FCF</t>
    </r>
    <r>
      <rPr>
        <vertAlign val="subscript"/>
        <sz val="10"/>
        <rFont val="Arial"/>
        <family val="2"/>
      </rPr>
      <t>3</t>
    </r>
    <r>
      <rPr>
        <sz val="11"/>
        <color theme="1"/>
        <rFont val="Calibri"/>
        <family val="2"/>
        <scheme val="minor"/>
      </rPr>
      <t>)</t>
    </r>
  </si>
  <si>
    <t>HFC-143a</t>
  </si>
  <si>
    <r>
      <t>1,1,1-Trifluoroethane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3</t>
    </r>
    <r>
      <rPr>
        <sz val="11"/>
        <color theme="1"/>
        <rFont val="Calibri"/>
        <family val="2"/>
        <scheme val="minor"/>
      </rPr>
      <t>)</t>
    </r>
  </si>
  <si>
    <t>HFC-152a</t>
  </si>
  <si>
    <r>
      <t>1,1-Difluoroethane (C</t>
    </r>
    <r>
      <rPr>
        <vertAlign val="subscript"/>
        <sz val="10"/>
        <rFont val="Arial"/>
        <family val="2"/>
      </rPr>
      <t>2</t>
    </r>
    <r>
      <rPr>
        <sz val="11"/>
        <color theme="1"/>
        <rFont val="Calibri"/>
        <family val="2"/>
        <scheme val="minor"/>
      </rPr>
      <t>H</t>
    </r>
    <r>
      <rPr>
        <vertAlign val="subscript"/>
        <sz val="10"/>
        <rFont val="Arial"/>
        <family val="2"/>
      </rPr>
      <t>4</t>
    </r>
    <r>
      <rPr>
        <sz val="11"/>
        <color theme="1"/>
        <rFont val="Calibri"/>
        <family val="2"/>
        <scheme val="minor"/>
      </rPr>
      <t>F</t>
    </r>
    <r>
      <rPr>
        <vertAlign val="subscript"/>
        <sz val="10"/>
        <rFont val="Arial"/>
        <family val="2"/>
      </rPr>
      <t>2</t>
    </r>
    <r>
      <rPr>
        <sz val="11"/>
        <color theme="1"/>
        <rFont val="Calibri"/>
        <family val="2"/>
        <scheme val="minor"/>
      </rPr>
      <t>)</t>
    </r>
  </si>
  <si>
    <t>HFC-161</t>
  </si>
  <si>
    <r>
      <t>Fluoroethane [ethyl fluoride] (CH</t>
    </r>
    <r>
      <rPr>
        <vertAlign val="subscript"/>
        <sz val="10"/>
        <rFont val="Arial"/>
        <family val="2"/>
      </rPr>
      <t>3</t>
    </r>
    <r>
      <rPr>
        <sz val="11"/>
        <color theme="1"/>
        <rFont val="Calibri"/>
        <family val="2"/>
        <scheme val="minor"/>
      </rPr>
      <t>CH</t>
    </r>
    <r>
      <rPr>
        <vertAlign val="subscript"/>
        <sz val="10"/>
        <rFont val="Arial"/>
        <family val="2"/>
      </rPr>
      <t>2</t>
    </r>
    <r>
      <rPr>
        <sz val="11"/>
        <color theme="1"/>
        <rFont val="Calibri"/>
        <family val="2"/>
        <scheme val="minor"/>
      </rPr>
      <t>F)</t>
    </r>
  </si>
  <si>
    <t>HFC-227ea</t>
  </si>
  <si>
    <r>
      <t xml:space="preserve"> 1,1,1,2,3,3,3-Heptafluoropropane (C</t>
    </r>
    <r>
      <rPr>
        <vertAlign val="subscript"/>
        <sz val="10"/>
        <rFont val="Arial"/>
        <family val="2"/>
      </rPr>
      <t>3</t>
    </r>
    <r>
      <rPr>
        <sz val="11"/>
        <color theme="1"/>
        <rFont val="Calibri"/>
        <family val="2"/>
        <scheme val="minor"/>
      </rPr>
      <t>HF</t>
    </r>
    <r>
      <rPr>
        <vertAlign val="subscript"/>
        <sz val="10"/>
        <rFont val="Arial"/>
        <family val="2"/>
      </rPr>
      <t>7</t>
    </r>
    <r>
      <rPr>
        <sz val="11"/>
        <color theme="1"/>
        <rFont val="Calibri"/>
        <family val="2"/>
        <scheme val="minor"/>
      </rPr>
      <t>)</t>
    </r>
  </si>
  <si>
    <t>HFC-236fa</t>
  </si>
  <si>
    <r>
      <t>1,1,1,3,3,3-hexafluoropropane (C</t>
    </r>
    <r>
      <rPr>
        <vertAlign val="subscript"/>
        <sz val="10"/>
        <rFont val="Arial"/>
        <family val="2"/>
      </rPr>
      <t>3</t>
    </r>
    <r>
      <rPr>
        <sz val="11"/>
        <color theme="1"/>
        <rFont val="Calibri"/>
        <family val="2"/>
        <scheme val="minor"/>
      </rPr>
      <t>H</t>
    </r>
    <r>
      <rPr>
        <vertAlign val="subscript"/>
        <sz val="10"/>
        <rFont val="Arial"/>
        <family val="2"/>
      </rPr>
      <t>2</t>
    </r>
    <r>
      <rPr>
        <sz val="11"/>
        <color theme="1"/>
        <rFont val="Calibri"/>
        <family val="2"/>
        <scheme val="minor"/>
      </rPr>
      <t>F</t>
    </r>
    <r>
      <rPr>
        <vertAlign val="subscript"/>
        <sz val="10"/>
        <rFont val="Arial"/>
        <family val="2"/>
      </rPr>
      <t>6</t>
    </r>
    <r>
      <rPr>
        <sz val="11"/>
        <color theme="1"/>
        <rFont val="Calibri"/>
        <family val="2"/>
        <scheme val="minor"/>
      </rPr>
      <t>)</t>
    </r>
  </si>
  <si>
    <t>HFC-245fa</t>
  </si>
  <si>
    <r>
      <t>1,1,1,3,3-pentafluoropropane (C</t>
    </r>
    <r>
      <rPr>
        <vertAlign val="subscript"/>
        <sz val="10"/>
        <rFont val="Arial"/>
        <family val="2"/>
      </rPr>
      <t>3</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5</t>
    </r>
    <r>
      <rPr>
        <sz val="11"/>
        <color theme="1"/>
        <rFont val="Calibri"/>
        <family val="2"/>
        <scheme val="minor"/>
      </rPr>
      <t>)</t>
    </r>
  </si>
  <si>
    <t>HFC-365mfc</t>
  </si>
  <si>
    <r>
      <t>1,1,1,3,3-pentafluorobutane (C</t>
    </r>
    <r>
      <rPr>
        <vertAlign val="subscript"/>
        <sz val="10"/>
        <rFont val="Arial"/>
        <family val="2"/>
      </rPr>
      <t>4</t>
    </r>
    <r>
      <rPr>
        <sz val="11"/>
        <color theme="1"/>
        <rFont val="Calibri"/>
        <family val="2"/>
        <scheme val="minor"/>
      </rPr>
      <t>H</t>
    </r>
    <r>
      <rPr>
        <vertAlign val="subscript"/>
        <sz val="10"/>
        <rFont val="Arial"/>
        <family val="2"/>
      </rPr>
      <t>5</t>
    </r>
    <r>
      <rPr>
        <sz val="11"/>
        <color theme="1"/>
        <rFont val="Calibri"/>
        <family val="2"/>
        <scheme val="minor"/>
      </rPr>
      <t>F</t>
    </r>
    <r>
      <rPr>
        <vertAlign val="subscript"/>
        <sz val="10"/>
        <rFont val="Arial"/>
        <family val="2"/>
      </rPr>
      <t>5</t>
    </r>
    <r>
      <rPr>
        <sz val="11"/>
        <color theme="1"/>
        <rFont val="Calibri"/>
        <family val="2"/>
        <scheme val="minor"/>
      </rPr>
      <t>)</t>
    </r>
  </si>
  <si>
    <t>HFC-43-10mee</t>
  </si>
  <si>
    <r>
      <t>1,1,1,2,2,3,4,5,5,5-decafluoropentane (C</t>
    </r>
    <r>
      <rPr>
        <vertAlign val="subscript"/>
        <sz val="10"/>
        <rFont val="Arial"/>
        <family val="2"/>
      </rPr>
      <t>5</t>
    </r>
    <r>
      <rPr>
        <sz val="11"/>
        <color theme="1"/>
        <rFont val="Calibri"/>
        <family val="2"/>
        <scheme val="minor"/>
      </rPr>
      <t>H</t>
    </r>
    <r>
      <rPr>
        <vertAlign val="subscript"/>
        <sz val="10"/>
        <rFont val="Arial"/>
        <family val="2"/>
      </rPr>
      <t>2</t>
    </r>
    <r>
      <rPr>
        <sz val="11"/>
        <color theme="1"/>
        <rFont val="Calibri"/>
        <family val="2"/>
        <scheme val="minor"/>
      </rPr>
      <t>F</t>
    </r>
    <r>
      <rPr>
        <vertAlign val="subscript"/>
        <sz val="10"/>
        <rFont val="Arial"/>
        <family val="2"/>
      </rPr>
      <t>10</t>
    </r>
    <r>
      <rPr>
        <sz val="11"/>
        <color theme="1"/>
        <rFont val="Calibri"/>
        <family val="2"/>
        <scheme val="minor"/>
      </rPr>
      <t>)</t>
    </r>
  </si>
  <si>
    <t>HFE-7100</t>
  </si>
  <si>
    <r>
      <t>HFE-449s1 (C</t>
    </r>
    <r>
      <rPr>
        <vertAlign val="subscript"/>
        <sz val="10"/>
        <rFont val="Arial"/>
        <family val="2"/>
      </rPr>
      <t>4</t>
    </r>
    <r>
      <rPr>
        <sz val="11"/>
        <color theme="1"/>
        <rFont val="Calibri"/>
        <family val="2"/>
        <scheme val="minor"/>
      </rPr>
      <t>F</t>
    </r>
    <r>
      <rPr>
        <vertAlign val="subscript"/>
        <sz val="10"/>
        <rFont val="Arial"/>
        <family val="2"/>
      </rPr>
      <t>9</t>
    </r>
    <r>
      <rPr>
        <sz val="11"/>
        <color theme="1"/>
        <rFont val="Calibri"/>
        <family val="2"/>
        <scheme val="minor"/>
      </rPr>
      <t>OCH</t>
    </r>
    <r>
      <rPr>
        <vertAlign val="subscript"/>
        <sz val="10"/>
        <rFont val="Arial"/>
        <family val="2"/>
      </rPr>
      <t>3</t>
    </r>
    <r>
      <rPr>
        <sz val="11"/>
        <color theme="1"/>
        <rFont val="Calibri"/>
        <family val="2"/>
        <scheme val="minor"/>
      </rPr>
      <t>)</t>
    </r>
  </si>
  <si>
    <t>HFE-7200</t>
  </si>
  <si>
    <r>
      <t>HFE-569sf2 (C</t>
    </r>
    <r>
      <rPr>
        <vertAlign val="subscript"/>
        <sz val="10"/>
        <rFont val="Arial"/>
        <family val="2"/>
      </rPr>
      <t>4</t>
    </r>
    <r>
      <rPr>
        <sz val="11"/>
        <color theme="1"/>
        <rFont val="Calibri"/>
        <family val="2"/>
        <scheme val="minor"/>
      </rPr>
      <t>F</t>
    </r>
    <r>
      <rPr>
        <vertAlign val="subscript"/>
        <sz val="10"/>
        <rFont val="Arial"/>
        <family val="2"/>
      </rPr>
      <t>9</t>
    </r>
    <r>
      <rPr>
        <sz val="11"/>
        <color theme="1"/>
        <rFont val="Calibri"/>
        <family val="2"/>
        <scheme val="minor"/>
      </rPr>
      <t>OC</t>
    </r>
    <r>
      <rPr>
        <vertAlign val="subscript"/>
        <sz val="10"/>
        <rFont val="Arial"/>
        <family val="2"/>
      </rPr>
      <t>2</t>
    </r>
    <r>
      <rPr>
        <sz val="11"/>
        <color theme="1"/>
        <rFont val="Calibri"/>
        <family val="2"/>
        <scheme val="minor"/>
      </rPr>
      <t>H</t>
    </r>
    <r>
      <rPr>
        <vertAlign val="subscript"/>
        <sz val="10"/>
        <rFont val="Arial"/>
        <family val="2"/>
      </rPr>
      <t>5</t>
    </r>
    <r>
      <rPr>
        <sz val="11"/>
        <color theme="1"/>
        <rFont val="Calibri"/>
        <family val="2"/>
        <scheme val="minor"/>
      </rPr>
      <t>)</t>
    </r>
  </si>
  <si>
    <t>HFE-8200</t>
  </si>
  <si>
    <t>blend ethyl nonafluoroisobutyl ether and ethyl nonafluorobutyl ether</t>
  </si>
  <si>
    <t>PFC-14</t>
  </si>
  <si>
    <r>
      <t>Tetrafluoromethane (CF</t>
    </r>
    <r>
      <rPr>
        <vertAlign val="subscript"/>
        <sz val="10"/>
        <rFont val="Arial"/>
        <family val="2"/>
      </rPr>
      <t>4</t>
    </r>
    <r>
      <rPr>
        <sz val="11"/>
        <color theme="1"/>
        <rFont val="Calibri"/>
        <family val="2"/>
        <scheme val="minor"/>
      </rPr>
      <t>)</t>
    </r>
  </si>
  <si>
    <t>PFC-116</t>
  </si>
  <si>
    <r>
      <t>Hexafluoroethane (C</t>
    </r>
    <r>
      <rPr>
        <vertAlign val="subscript"/>
        <sz val="10"/>
        <rFont val="Arial"/>
        <family val="2"/>
      </rPr>
      <t>2</t>
    </r>
    <r>
      <rPr>
        <sz val="11"/>
        <color theme="1"/>
        <rFont val="Calibri"/>
        <family val="2"/>
        <scheme val="minor"/>
      </rPr>
      <t>F</t>
    </r>
    <r>
      <rPr>
        <vertAlign val="subscript"/>
        <sz val="10"/>
        <rFont val="Arial"/>
        <family val="2"/>
      </rPr>
      <t>6</t>
    </r>
    <r>
      <rPr>
        <sz val="11"/>
        <color theme="1"/>
        <rFont val="Calibri"/>
        <family val="2"/>
        <scheme val="minor"/>
      </rPr>
      <t>)</t>
    </r>
  </si>
  <si>
    <t>PFC-218</t>
  </si>
  <si>
    <r>
      <t>Octafluoropropane (C</t>
    </r>
    <r>
      <rPr>
        <vertAlign val="subscript"/>
        <sz val="10"/>
        <rFont val="Arial"/>
        <family val="2"/>
      </rPr>
      <t>3</t>
    </r>
    <r>
      <rPr>
        <sz val="11"/>
        <color theme="1"/>
        <rFont val="Calibri"/>
        <family val="2"/>
        <scheme val="minor"/>
      </rPr>
      <t>F</t>
    </r>
    <r>
      <rPr>
        <vertAlign val="subscript"/>
        <sz val="10"/>
        <rFont val="Arial"/>
        <family val="2"/>
      </rPr>
      <t>8</t>
    </r>
    <r>
      <rPr>
        <sz val="11"/>
        <color theme="1"/>
        <rFont val="Calibri"/>
        <family val="2"/>
        <scheme val="minor"/>
      </rPr>
      <t>)</t>
    </r>
  </si>
  <si>
    <t>PFC-318</t>
  </si>
  <si>
    <r>
      <t>Perfluorocyclobutane (C</t>
    </r>
    <r>
      <rPr>
        <vertAlign val="subscript"/>
        <sz val="10"/>
        <rFont val="Arial"/>
        <family val="2"/>
      </rPr>
      <t>4</t>
    </r>
    <r>
      <rPr>
        <sz val="11"/>
        <color theme="1"/>
        <rFont val="Calibri"/>
        <family val="2"/>
        <scheme val="minor"/>
      </rPr>
      <t>F</t>
    </r>
    <r>
      <rPr>
        <vertAlign val="subscript"/>
        <sz val="10"/>
        <rFont val="Arial"/>
        <family val="2"/>
      </rPr>
      <t>8</t>
    </r>
    <r>
      <rPr>
        <sz val="11"/>
        <color theme="1"/>
        <rFont val="Calibri"/>
        <family val="2"/>
        <scheme val="minor"/>
      </rPr>
      <t>)</t>
    </r>
  </si>
  <si>
    <t>PFC-31-10</t>
  </si>
  <si>
    <r>
      <t>Perfluorobutane (C</t>
    </r>
    <r>
      <rPr>
        <vertAlign val="subscript"/>
        <sz val="10"/>
        <rFont val="Arial"/>
        <family val="2"/>
      </rPr>
      <t>4</t>
    </r>
    <r>
      <rPr>
        <sz val="11"/>
        <color theme="1"/>
        <rFont val="Calibri"/>
        <family val="2"/>
        <scheme val="minor"/>
      </rPr>
      <t>F</t>
    </r>
    <r>
      <rPr>
        <vertAlign val="subscript"/>
        <sz val="10"/>
        <rFont val="Arial"/>
        <family val="2"/>
      </rPr>
      <t>10</t>
    </r>
    <r>
      <rPr>
        <sz val="11"/>
        <color theme="1"/>
        <rFont val="Calibri"/>
        <family val="2"/>
        <scheme val="minor"/>
      </rPr>
      <t>)</t>
    </r>
  </si>
  <si>
    <t>PFC-41-12</t>
  </si>
  <si>
    <r>
      <t>Perfluoropentane (C</t>
    </r>
    <r>
      <rPr>
        <vertAlign val="subscript"/>
        <sz val="10"/>
        <rFont val="Arial"/>
        <family val="2"/>
      </rPr>
      <t>5</t>
    </r>
    <r>
      <rPr>
        <sz val="11"/>
        <color theme="1"/>
        <rFont val="Calibri"/>
        <family val="2"/>
        <scheme val="minor"/>
      </rPr>
      <t>F</t>
    </r>
    <r>
      <rPr>
        <vertAlign val="subscript"/>
        <sz val="10"/>
        <rFont val="Arial"/>
        <family val="2"/>
      </rPr>
      <t>12</t>
    </r>
    <r>
      <rPr>
        <sz val="11"/>
        <color theme="1"/>
        <rFont val="Calibri"/>
        <family val="2"/>
        <scheme val="minor"/>
      </rPr>
      <t>)</t>
    </r>
  </si>
  <si>
    <t>PFC-51-14</t>
  </si>
  <si>
    <r>
      <t>Perfluorohexane (C</t>
    </r>
    <r>
      <rPr>
        <vertAlign val="subscript"/>
        <sz val="10"/>
        <rFont val="Arial"/>
        <family val="2"/>
      </rPr>
      <t>6</t>
    </r>
    <r>
      <rPr>
        <sz val="11"/>
        <color theme="1"/>
        <rFont val="Calibri"/>
        <family val="2"/>
        <scheme val="minor"/>
      </rPr>
      <t>F</t>
    </r>
    <r>
      <rPr>
        <vertAlign val="subscript"/>
        <sz val="10"/>
        <rFont val="Arial"/>
        <family val="2"/>
      </rPr>
      <t>14</t>
    </r>
    <r>
      <rPr>
        <sz val="11"/>
        <color theme="1"/>
        <rFont val="Calibri"/>
        <family val="2"/>
        <scheme val="minor"/>
      </rPr>
      <t>)</t>
    </r>
  </si>
  <si>
    <t>PFC-91-18</t>
  </si>
  <si>
    <r>
      <t>Perfluorodecalin (C</t>
    </r>
    <r>
      <rPr>
        <vertAlign val="subscript"/>
        <sz val="10"/>
        <rFont val="Arial"/>
        <family val="2"/>
      </rPr>
      <t>10</t>
    </r>
    <r>
      <rPr>
        <sz val="11"/>
        <color theme="1"/>
        <rFont val="Calibri"/>
        <family val="2"/>
        <scheme val="minor"/>
      </rPr>
      <t>F</t>
    </r>
    <r>
      <rPr>
        <vertAlign val="subscript"/>
        <sz val="10"/>
        <rFont val="Arial"/>
        <family val="2"/>
      </rPr>
      <t>18</t>
    </r>
    <r>
      <rPr>
        <sz val="11"/>
        <color theme="1"/>
        <rFont val="Calibri"/>
        <family val="2"/>
        <scheme val="minor"/>
      </rPr>
      <t>)</t>
    </r>
  </si>
  <si>
    <t>&gt;1000</t>
  </si>
  <si>
    <t>&gt;7500</t>
  </si>
  <si>
    <t>&gt;5500</t>
  </si>
  <si>
    <r>
      <t>SF</t>
    </r>
    <r>
      <rPr>
        <b/>
        <vertAlign val="subscript"/>
        <sz val="10"/>
        <rFont val="Arial"/>
        <family val="2"/>
      </rPr>
      <t xml:space="preserve">6 </t>
    </r>
    <r>
      <rPr>
        <b/>
        <sz val="10"/>
        <rFont val="Arial"/>
        <family val="2"/>
      </rPr>
      <t>Sulphur Hexafluoride</t>
    </r>
  </si>
  <si>
    <r>
      <t>Sulphur Hexafluoride (SF</t>
    </r>
    <r>
      <rPr>
        <vertAlign val="subscript"/>
        <sz val="10"/>
        <rFont val="Arial"/>
        <family val="2"/>
      </rPr>
      <t>6</t>
    </r>
    <r>
      <rPr>
        <sz val="11"/>
        <color theme="1"/>
        <rFont val="Calibri"/>
        <family val="2"/>
        <scheme val="minor"/>
      </rPr>
      <t>)</t>
    </r>
  </si>
  <si>
    <r>
      <t>NF</t>
    </r>
    <r>
      <rPr>
        <b/>
        <vertAlign val="subscript"/>
        <sz val="10"/>
        <rFont val="Arial"/>
        <family val="2"/>
      </rPr>
      <t>3</t>
    </r>
    <r>
      <rPr>
        <b/>
        <sz val="11"/>
        <color theme="1"/>
        <rFont val="Calibri"/>
        <family val="2"/>
        <scheme val="minor"/>
      </rPr>
      <t xml:space="preserve"> Nitrogen Trifluoride</t>
    </r>
  </si>
  <si>
    <r>
      <t>Nitrogen Trifluoride (NF</t>
    </r>
    <r>
      <rPr>
        <vertAlign val="subscript"/>
        <sz val="10"/>
        <rFont val="Arial"/>
        <family val="2"/>
      </rPr>
      <t>3</t>
    </r>
    <r>
      <rPr>
        <sz val="11"/>
        <color theme="1"/>
        <rFont val="Calibri"/>
        <family val="2"/>
        <scheme val="minor"/>
      </rPr>
      <t>)</t>
    </r>
  </si>
  <si>
    <r>
      <t>SO</t>
    </r>
    <r>
      <rPr>
        <b/>
        <vertAlign val="subscript"/>
        <sz val="10"/>
        <rFont val="Arial"/>
        <family val="2"/>
      </rPr>
      <t>2</t>
    </r>
    <r>
      <rPr>
        <b/>
        <sz val="11"/>
        <color theme="1"/>
        <rFont val="Calibri"/>
        <family val="2"/>
        <scheme val="minor"/>
      </rPr>
      <t>F</t>
    </r>
    <r>
      <rPr>
        <b/>
        <vertAlign val="subscript"/>
        <sz val="10"/>
        <rFont val="Arial"/>
        <family val="2"/>
      </rPr>
      <t>2</t>
    </r>
    <r>
      <rPr>
        <b/>
        <sz val="11"/>
        <color theme="1"/>
        <rFont val="Calibri"/>
        <family val="2"/>
        <scheme val="minor"/>
      </rPr>
      <t xml:space="preserve"> Sulfuryl fluoride</t>
    </r>
  </si>
  <si>
    <r>
      <t>Sulfuryl fluoride (SO</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t>
    </r>
  </si>
  <si>
    <t xml:space="preserve">Trifluoromethyl sulfur pentafluoride </t>
  </si>
  <si>
    <r>
      <t>Trifluoromethyl sulfur pentafluoride 
(SF</t>
    </r>
    <r>
      <rPr>
        <vertAlign val="subscript"/>
        <sz val="10"/>
        <rFont val="Arial"/>
        <family val="2"/>
      </rPr>
      <t>5</t>
    </r>
    <r>
      <rPr>
        <sz val="11"/>
        <color theme="1"/>
        <rFont val="Calibri"/>
        <family val="2"/>
        <scheme val="minor"/>
      </rPr>
      <t>CF</t>
    </r>
    <r>
      <rPr>
        <vertAlign val="subscript"/>
        <sz val="10"/>
        <rFont val="Arial"/>
        <family val="2"/>
      </rPr>
      <t>3</t>
    </r>
    <r>
      <rPr>
        <sz val="11"/>
        <color theme="1"/>
        <rFont val="Calibri"/>
        <family val="2"/>
        <scheme val="minor"/>
      </rPr>
      <t>)</t>
    </r>
  </si>
  <si>
    <r>
      <t>Trifluoromethyl iodide (CF3</t>
    </r>
    <r>
      <rPr>
        <b/>
        <sz val="11"/>
        <rFont val="Times New Roman"/>
        <family val="1"/>
      </rPr>
      <t>I</t>
    </r>
    <r>
      <rPr>
        <b/>
        <sz val="11"/>
        <color theme="1"/>
        <rFont val="Calibri"/>
        <family val="2"/>
        <scheme val="minor"/>
      </rPr>
      <t>)</t>
    </r>
  </si>
  <si>
    <r>
      <t>Trifluoromethyl iodide (CF3</t>
    </r>
    <r>
      <rPr>
        <sz val="11"/>
        <rFont val="Times New Roman"/>
        <family val="1"/>
      </rPr>
      <t>I</t>
    </r>
    <r>
      <rPr>
        <sz val="11"/>
        <color theme="1"/>
        <rFont val="Calibri"/>
        <family val="2"/>
        <scheme val="minor"/>
      </rPr>
      <t>), trifluoroiodomethane</t>
    </r>
  </si>
  <si>
    <t>Dimethyl ether (DME)</t>
  </si>
  <si>
    <r>
      <t>Dimethyl ether (DME) (CH</t>
    </r>
    <r>
      <rPr>
        <vertAlign val="subscript"/>
        <sz val="10"/>
        <rFont val="Arial"/>
        <family val="2"/>
      </rPr>
      <t>3</t>
    </r>
    <r>
      <rPr>
        <sz val="10"/>
        <rFont val="Arial"/>
        <family val="2"/>
      </rPr>
      <t>OCH</t>
    </r>
    <r>
      <rPr>
        <vertAlign val="subscript"/>
        <sz val="10"/>
        <rFont val="Arial"/>
        <family val="2"/>
      </rPr>
      <t>3</t>
    </r>
    <r>
      <rPr>
        <sz val="10"/>
        <rFont val="Arial"/>
        <family val="2"/>
      </rPr>
      <t xml:space="preserve"> (C</t>
    </r>
    <r>
      <rPr>
        <vertAlign val="subscript"/>
        <sz val="10"/>
        <rFont val="Arial"/>
        <family val="2"/>
      </rPr>
      <t>2</t>
    </r>
    <r>
      <rPr>
        <sz val="10"/>
        <rFont val="Arial"/>
        <family val="2"/>
      </rPr>
      <t>H</t>
    </r>
    <r>
      <rPr>
        <vertAlign val="subscript"/>
        <sz val="10"/>
        <rFont val="Arial"/>
        <family val="2"/>
      </rPr>
      <t>6</t>
    </r>
    <r>
      <rPr>
        <sz val="10"/>
        <rFont val="Arial"/>
        <family val="2"/>
      </rPr>
      <t>O))</t>
    </r>
  </si>
  <si>
    <t>FOR12A</t>
  </si>
  <si>
    <r>
      <t>HFC-134a 1,1,1,2-Tetrafluoroethane 80%; 
HFC-152a 1,1-Difluoroethane 4%; 
CF</t>
    </r>
    <r>
      <rPr>
        <vertAlign val="subscript"/>
        <sz val="10"/>
        <rFont val="Arial"/>
        <family val="2"/>
      </rPr>
      <t>3</t>
    </r>
    <r>
      <rPr>
        <sz val="10"/>
        <rFont val="Arial"/>
        <family val="2"/>
      </rPr>
      <t>I (Trifluoroiodomethane) 11%</t>
    </r>
  </si>
  <si>
    <t>FOR12B</t>
  </si>
  <si>
    <r>
      <t>HFC-134a 1,1,1,2-Tetrafluoroethane 77%; 
Dimethyl ether (DME) (C</t>
    </r>
    <r>
      <rPr>
        <vertAlign val="subscript"/>
        <sz val="10"/>
        <color indexed="8"/>
        <rFont val="Arial"/>
        <family val="2"/>
      </rPr>
      <t>2</t>
    </r>
    <r>
      <rPr>
        <sz val="10"/>
        <color indexed="8"/>
        <rFont val="Arial"/>
        <family val="2"/>
      </rPr>
      <t>H</t>
    </r>
    <r>
      <rPr>
        <vertAlign val="subscript"/>
        <sz val="10"/>
        <color indexed="8"/>
        <rFont val="Arial"/>
        <family val="2"/>
      </rPr>
      <t>6</t>
    </r>
    <r>
      <rPr>
        <sz val="10"/>
        <color indexed="8"/>
        <rFont val="Arial"/>
        <family val="2"/>
      </rPr>
      <t>O) 2%; 
CF</t>
    </r>
    <r>
      <rPr>
        <vertAlign val="subscript"/>
        <sz val="10"/>
        <color indexed="8"/>
        <rFont val="Arial"/>
        <family val="2"/>
      </rPr>
      <t>3</t>
    </r>
    <r>
      <rPr>
        <sz val="10"/>
        <color indexed="8"/>
        <rFont val="Arial"/>
        <family val="2"/>
      </rPr>
      <t>I (Trifluoroiodomethane) 21%</t>
    </r>
  </si>
  <si>
    <t>Freeze 12</t>
  </si>
  <si>
    <t>HCFC-142b Monochlorodifluoroethane 20%; 
HFC-134a 1,1,1,2-Tetrafluoroethane 80%</t>
  </si>
  <si>
    <t>Free Zone</t>
  </si>
  <si>
    <t>HCFC-142b Monochlorodifluoroethane 19%; 
HFC-134a 1,1,1,2-Tetrafluoroethane 79%</t>
  </si>
  <si>
    <t>FRIGC FR-12</t>
  </si>
  <si>
    <t>HCFC-124 2-Chloro-1,1,1,2-Tetrafluoroethane  39%; 
HFC-134a 1,1,1,2-Tetrafluoroethane 59%; 
n-Butane 2%</t>
  </si>
  <si>
    <t>G2018C</t>
  </si>
  <si>
    <t>HCFC-22 Chlorodifluoromethane 95.5%;  
HFC-152a 1,1-Difluoroethane 1.5%; 
Propylene R-1270 3%</t>
  </si>
  <si>
    <t>GHG-HP</t>
  </si>
  <si>
    <t>HCFC-22 Chlorodifluoromethane 65%; 
HCFC-142B Monochlorodifluoroethane 31%
Isobutane R-600a 4%</t>
  </si>
  <si>
    <t>GHG-X5</t>
  </si>
  <si>
    <t>HCFC-22 Chlorodifluoromethane 41%; 
HCFC-142B Monochlorodifluoroethane 15%;
HFC-227ea 1,1,1,2,3,3,3-Heptafluoropropane 40%
Isobutane R-600a 4%</t>
  </si>
  <si>
    <t>Hot Shot 2</t>
  </si>
  <si>
    <t>HFC-134a 1,1,1,2-Tetrafluoroethane 78.8%;
HFC-125 Pentafluoroethane 19.5%; 
R-600a (Isobutane) 1.7%</t>
  </si>
  <si>
    <t>Ikon A</t>
  </si>
  <si>
    <t>HFC-152a (unknown %);
CF3I (trifluoroiodomethane) (unknown %)</t>
  </si>
  <si>
    <t>Ikon B</t>
  </si>
  <si>
    <t>HFC-134a (unknown %); 
HFC-152a (unknown %);
CF3I (trifluoroiodomethane) (unknown %)</t>
  </si>
  <si>
    <t>Isceon MO89</t>
  </si>
  <si>
    <t>HFC-125 Pentafluoroethane 86%;
PFC-218 Octafluoropropane 9%;
Propane (R-290) 5%</t>
  </si>
  <si>
    <t>NARM-502</t>
  </si>
  <si>
    <t>HCFC-22 Chlorodifluoromethane 90%; 
HFC-23 Trifluoromethane 5%; 
HFC-152a 1,1-Difluoroethane 5%</t>
  </si>
  <si>
    <t>R-401A</t>
  </si>
  <si>
    <t>HCFC-22 Chlorodifluoromethane 53%;  
HCFC-124  2-Chloro-1,1,1,2-Tetrafluoroethane 34%;
HFC-152a 1,1-Difluoroethane 13%</t>
  </si>
  <si>
    <t>R-401B</t>
  </si>
  <si>
    <t>HCFC-22 Chlorodifluoromethane 61%;  
HCFC-124  2-Chloro-1,1,1,2-Tetrafluoroethane 28%;
HFC-152a 1,1-Difluoroethane 11%</t>
  </si>
  <si>
    <t>R-401C</t>
  </si>
  <si>
    <t>HCFC-22 Chlorodifluoromethane 33%;  
HCFC-124  2-Chloro-1,1,1,2-Tetrafluoroethane 52%;
HFC-152a 1,1-Difluoroethane 15%</t>
  </si>
  <si>
    <t>R-402A</t>
  </si>
  <si>
    <t>HCFC-22 Chlorodifluoromethane 38%; 
HFC-125 Pentafluoroethane 60%; 
Propane (R-290) 2%</t>
  </si>
  <si>
    <t>R-402B</t>
  </si>
  <si>
    <t>HCFC-22 Chlorodifluoromethane 60%; 
HFC-125 Pentafluoroethane 38%; 
Propane (R-290) 2%</t>
  </si>
  <si>
    <t>R-403B</t>
  </si>
  <si>
    <t>HCFC-22 Chlorodifluoromethane 56%; 
PFC-218 Octafluoropropane 39%;
Propane (R-290) 5%</t>
  </si>
  <si>
    <t>R-404A</t>
  </si>
  <si>
    <t>HFC-125 Pentafluoroethane 44%; 
HFC-134a 1,1,1,2-Tetrafluoroethane 4% 
HFC-143a 1,1,1-Trifluoroethane 52%</t>
  </si>
  <si>
    <t>52 years (143a); 
29 years (125); 
14.6 years (134a)</t>
  </si>
  <si>
    <t>R-406A</t>
  </si>
  <si>
    <t>HCFC-22 Chlorodifluoromethane 55%; 
HCFC-142B Monochlorodifluoroethane 41%
Isobutane R-600a 4%</t>
  </si>
  <si>
    <t>R-407A</t>
  </si>
  <si>
    <t>HFC-32 Difluoromethane 20%; 
HFC-125 Pentafluoroethane 40%; 
HFC-134a 1,1,1,2-Tetrafluoroethane 40%</t>
  </si>
  <si>
    <t>29 years (R-125); 
4.9 years (R-32)</t>
  </si>
  <si>
    <t>R-407B</t>
  </si>
  <si>
    <t>HFC-32 Difluoromethane 10%; 
HFC-125 Pentafluoroethane 70%; 
HFC-134a 1,1,1,2-Tetrafluoroethane 20%</t>
  </si>
  <si>
    <t>R-407C</t>
  </si>
  <si>
    <t>HFC-32 Difluoromethane 23%: 
HFC-125 Pentafluoroethane 25%; 
HFC-134a 1,1,1,2-Tetrafluoroethane 52%</t>
  </si>
  <si>
    <t>R-407D</t>
  </si>
  <si>
    <t>HFC-32 Difluoromethane 15%: 
HFC-125 Pentafluoroethane 15%; 
HFC-134a 1,1,1,2-Tetrafluoroethane 70%</t>
  </si>
  <si>
    <t>R-407F</t>
  </si>
  <si>
    <t>HFC-32 Difluoromethane 30%: 
HFC-125 Pentafluoroethane 30%; 
HFC-134a 1,1,1,2-Tetrafluoroethane 40%</t>
  </si>
  <si>
    <t>R-407H</t>
  </si>
  <si>
    <t>HFC-32 Difluoromethane 32.5%: 
HFC-125 Pentafluoroethane 15.0%; 
HFC-134a 1,1,1,2-Tetrafluoroethane 52.5%</t>
  </si>
  <si>
    <t>R-408A</t>
  </si>
  <si>
    <t>HCFC-22 Chlorodifluoromethane 47%; 
HFC-125 Pentafluoroethane 7%; 
HFC-143A 1-1-1 Trifluoroethane 46%</t>
  </si>
  <si>
    <t>R-409A</t>
  </si>
  <si>
    <r>
      <t xml:space="preserve">HCFC-22 Chlorodifluoromethane 60%;  
HCFC-124  2-Chloro-1,1,1,2-Tetrafluoroethane 25%; 
HCFC-142b </t>
    </r>
    <r>
      <rPr>
        <sz val="9"/>
        <color indexed="8"/>
        <rFont val="Arial"/>
        <family val="2"/>
      </rPr>
      <t>1-Chloro-1,1-Difluoroethane 15%</t>
    </r>
  </si>
  <si>
    <t>R-410A</t>
  </si>
  <si>
    <t>HFC-32 Difluoromethane 50%;
HFC-125 Pentafluoroethane 50%</t>
  </si>
  <si>
    <t>R-410B</t>
  </si>
  <si>
    <t>HFC-32 Difluoromethane 45%;
HFC-125 Pentafluoroethane 55%</t>
  </si>
  <si>
    <t>R-411A</t>
  </si>
  <si>
    <t>HCFC-22 Chlorodifluoromethane 87.5%;  
HFC-152a 1,1-Difluoroethane 11%; 
Propylene R-1270 1.5%</t>
  </si>
  <si>
    <t>R-411B</t>
  </si>
  <si>
    <t>HCFC-22 Chlorodifluoromethane 94%;  
HFC-152a 1,1-Difluoroethane 3%; 
Propylene R-1270 3%</t>
  </si>
  <si>
    <t>R-413A</t>
  </si>
  <si>
    <t>HFC-134a 1,1,1,2-Tetrafluoroethane 88%;
PFC-218 Octafluoropropane 9%;
Isobutane 3%</t>
  </si>
  <si>
    <t>R-414A</t>
  </si>
  <si>
    <t>HCFC-22 Chlorodifluoromethane 51%; 
HCFC-124 Monochlorotetrafluoroethane 39%; 
HCFC-142b Monochlorodifluoroethane 6%; 
R-600a Isobutane (hydrocarbon) 4%</t>
  </si>
  <si>
    <t>R-414B</t>
  </si>
  <si>
    <t>HCFC-22 Chlorodifluoromethane 50%; 
HCFC-124 Monochlorotetrafluoroethane 39%; 
HCFC-142b Monochlorodifluoroethane 9.5%; 
R-600a Isobutane (hydrocarbon) 1.5%</t>
  </si>
  <si>
    <t>R-416A</t>
  </si>
  <si>
    <t>HFC-134a 1,1,1,2-Tetrafluoroethane 59%; 
HCFC-124 1-Chloro-1,2,2,2-tetrafluoroethane 39.5%;
R-600a Isobutane (hydrocarbon) 1.5%</t>
  </si>
  <si>
    <t>R-417A</t>
  </si>
  <si>
    <t>HFC-134a 1,1,1,2-Tetrafluoroethane 50%;
HFC-125 Pentafluoroethane 46.6%; 
Butane 3.4%</t>
  </si>
  <si>
    <t>R-417B</t>
  </si>
  <si>
    <t>HFC-125 Pentafluoroethane 79%; 
HFC-134a 1,1,1,2-Tetrafluoroethane 18.25%;
R-600 Butane 2.75%</t>
  </si>
  <si>
    <t>R-417C</t>
  </si>
  <si>
    <t>R-420A</t>
  </si>
  <si>
    <t>HCFC-142b Monochlorodifluoroethane 12%; 
HFC-134a 1,1,1,2-Tetrafluoroethane 88%</t>
  </si>
  <si>
    <t>R-421A</t>
  </si>
  <si>
    <t>HFC-125 Pentafluoroethane 58%
HFC-134a 1,1,1,2-Tetrafluoroethane 42%</t>
  </si>
  <si>
    <t>R-421B</t>
  </si>
  <si>
    <t>HFC-125 Pentafluoroethane 85%
HFC-134a 1,1,1,2-Tetrafluoroethane 15%</t>
  </si>
  <si>
    <t>R-422A</t>
  </si>
  <si>
    <t>HFC-134a 1,1,1,2-Tetrafluoroethane 11.5%;
HFC-125 Pentafluoroethane 85.1%; 
Isobutane 3.4%</t>
  </si>
  <si>
    <t>R-422B</t>
  </si>
  <si>
    <t>HFC-134a 1,1,1,2-Tetrafluoroethane 42%;
HFC-125 Pentafluoroethane 55%; 
Isobutane 3%</t>
  </si>
  <si>
    <t>R-422C</t>
  </si>
  <si>
    <t>HFC-125 Pentafluoroethane 82%; 
HFC-134a 1,1,1,2-Tetrafluoroethane 15%;
Isobutane R-600a 3%</t>
  </si>
  <si>
    <t>R-422D</t>
  </si>
  <si>
    <t>HFC-125 Pentafluoroethane 65.1%; 
HFC-134a 1,1,1,2-Tetrafluoroethane 31.5%;
Isobutane 3.4%</t>
  </si>
  <si>
    <t>R-423A</t>
  </si>
  <si>
    <t>HFC-134a 1,1,1,2-Tetrafluoroethane 52.5%;
HFC-227ea 1,1,1,2,3,3,3-Heptafluoropropane 47.5%</t>
  </si>
  <si>
    <t>R-424A</t>
  </si>
  <si>
    <t>HFC-125 Pentafluoroethane 50.5%; 
HFC-134a 1,1,1,2-Tetrafluoroethane 47.0%;
Butane (R-600) 1.0%
Isobutane (R-600a) 0.9%
Isopentane (R-601a) 0.6%</t>
  </si>
  <si>
    <t>R-426A</t>
  </si>
  <si>
    <t>HFC-125 Pentafluoroethane 5.1%; 
HFC-134a 1,1,1,2-Tetrafluoroethane 93.0%;
Butane (R-600) 1.3%
Isobutane (R-600a) 0.6%</t>
  </si>
  <si>
    <t>R-427A</t>
  </si>
  <si>
    <t>HFC-32 Difluoromethane 15%; 
HFC-125 Pentafluoroethane 25%;
HFC-134a 1,1,1,2-Tetrafluoroethane 50%;
HFC-143a 1,1,1-Trifluoroethane 10%</t>
  </si>
  <si>
    <t>R-428A</t>
  </si>
  <si>
    <t>HFC-125 Pentafluoroethane 77.5%;
HFC-143a 1,1,1-Trifluoroethane 20.0%; 
Propane (R-290) 0.6%; 
Isobutane (R-600a) 1.9%</t>
  </si>
  <si>
    <t>R-434A</t>
  </si>
  <si>
    <t>HFC-125 Pentafluoroethane 63.2%;
HFC-143a 1,1,1-Trifluoroethane 18%; 
HFC-134a 1,1,1,2-Tetrafluoroethane 16%;
Isobutane (R-600a) 2.8%</t>
  </si>
  <si>
    <t>R-436A</t>
  </si>
  <si>
    <t>Hydrocarbon blend of 54% propane (R-290), 
46% isobutane (R-600a)</t>
  </si>
  <si>
    <t>R-437A</t>
  </si>
  <si>
    <t>HFC-125 Pentafluoroethane 19.5%;
HFC-134a 1,1,1,2-Tetrafluoroethane 78.5%;
Butane (R-600) 1.4%;
Pentane (R-601) 0.6%</t>
  </si>
  <si>
    <t>R-438A</t>
  </si>
  <si>
    <t>HFC-125 Pentafluoroethane 45%;
HFC-134a 1,1,1,2-Tetrafluoroethane 44.2%;
HFC-32 Difluoromethane 8.5%; 
IsoButane (R-600a) 1.7%;
Isopentane (R-601) 0.6%</t>
  </si>
  <si>
    <t>R-441A</t>
  </si>
  <si>
    <t>Hydrocarbon blend of 3.1% ethane (R-170); 
54.8% propane (R-290), 
36.1% n-Butane (R-600), and 
6.0% isobutane (R-660a)</t>
  </si>
  <si>
    <t>R-442A</t>
  </si>
  <si>
    <t>HFC-32 Difluoromethane 31%; 
HFC-125 Pentafluoroethane 31%;
HFC-134a 1,1,1,2-Tetrafluoroethane 30%;
HFC-152a 1,1-Difluoroethane 3%;
HFC-227ea 1,1,1,2,3,3,3-Heptafluoropropane 5%</t>
  </si>
  <si>
    <t>R-443A</t>
  </si>
  <si>
    <t>Propane, isobutane, butane &gt; 75%, hydrocarbon blend (Unacceptable for AC, SNAP list)</t>
  </si>
  <si>
    <t>R-444A</t>
  </si>
  <si>
    <t>HFC-32 Difluoromethane 12%; 
HFC-152a 1,1-Difluoroethane 5%;
R-1234ze HFO-1234ze(E) 83%</t>
  </si>
  <si>
    <t>no MSDS yet</t>
  </si>
  <si>
    <t>R-444B</t>
  </si>
  <si>
    <t xml:space="preserve">HFC-32 Difluoromethane 41.5%; 
R-152a 1,1-Difluoroethane 10%;
R-1234ze HFO-1234ze 48.5% </t>
  </si>
  <si>
    <t>R-445A</t>
  </si>
  <si>
    <r>
      <t>HFC-134a 1,1,1,2-Tetrafluoroethane 9%;
R-744 CO</t>
    </r>
    <r>
      <rPr>
        <vertAlign val="subscript"/>
        <sz val="10"/>
        <color indexed="8"/>
        <rFont val="Arial"/>
        <family val="2"/>
      </rPr>
      <t>2</t>
    </r>
    <r>
      <rPr>
        <sz val="10"/>
        <color indexed="8"/>
        <rFont val="Arial"/>
        <family val="2"/>
      </rPr>
      <t xml:space="preserve"> 6%;
R-1234ze HFO-1234ze 85%</t>
    </r>
  </si>
  <si>
    <t>R-446A</t>
  </si>
  <si>
    <t>HFC-32 Difluoromethane 68%; 
R-1234ze HFO-1234ze 29%; 
R-600a isobutane 3%</t>
  </si>
  <si>
    <t>R-447A</t>
  </si>
  <si>
    <t>HFC-32 Difluoromethane 68%; 
HFC-125 Pentafluoroethane 3.5%;
R-1234ze HFO-1234ze(E) 28.5%</t>
  </si>
  <si>
    <t>R-447B</t>
  </si>
  <si>
    <t>HFC-32 Difluoromethane 68%; 
R-1234ze HFO-1234ze(E) 24%; 
HFC-125 Pentafluoroethane 8%</t>
  </si>
  <si>
    <t>R-448A</t>
  </si>
  <si>
    <t>HFC-32 Difluoromethane 26%; 
HFC-125 Pentafluoroethane 26%;
HFC-134a 1,1,1,2-Tetrafluoroethane 21%;
R-1234yf HFO-1234yf 2,3,3,3-Tetrafluoropropene 20%; 
R-1234ze HFO-1234ze 7%</t>
  </si>
  <si>
    <t>R-449A</t>
  </si>
  <si>
    <t>HFC-32 Difluoromethane 24.3%; 
HFC-125 Pentafluoroethane 24.7%;
HFC-134a 1,1,1,2-Tetrafluoroethane 25.7%;
R-1234yf HFO-1234yf 2,3,3,3-Tetrafluoropropene 25.3%</t>
  </si>
  <si>
    <t>R-449B</t>
  </si>
  <si>
    <t>HFC-32 Difluoromethane 25.2%; 
HFC-125 Pentafluoroethane 24.3%;
HFC-134a 1,1,1,2-Tetrafluoroethane 27.3%;
R-1234yf HFO-1234yf 2,3,3,3-Tetrafluoropropene 23.2%</t>
  </si>
  <si>
    <t>R-450A</t>
  </si>
  <si>
    <t>HFC-134a 1,1,1,2-Tetrafluoroethane 42%;
R-1234ze HFO-1234ze 58%</t>
  </si>
  <si>
    <t>R-451A</t>
  </si>
  <si>
    <t>HFC-134a 1,1,1,2-Tetrafluoroethane 10.2%;
R-1234ze HFO-1234ze 89.8%</t>
  </si>
  <si>
    <t>R-451B</t>
  </si>
  <si>
    <t>HFC-134a 1,1,1,2-Tetrafluoroethane 11.2%;
R-1234ze HFO-1234ze 88.8%</t>
  </si>
  <si>
    <t>R-452A</t>
  </si>
  <si>
    <t>HFC-32 Difluoromethane 11%
HFC-125 Pentafluoroethane 59%;
HFO-1234yf 2,3,3,3-Tetrafluoropropene 30%</t>
  </si>
  <si>
    <t>R-452B</t>
  </si>
  <si>
    <t>HFC-32 Difluoromethane 67%
HFC-125 Pentafluoroethane 7%;
HFO-1234yf 2,3,3,3-Tetrafluoropropene 26%</t>
  </si>
  <si>
    <t>R-452C</t>
  </si>
  <si>
    <t>HFC-32 Difluoromethane 12.5%
HFC-125 Pentafluoroethane 61.0%;
HFO-1234yf 2,3,3,3-Tetrafluoropropene 26.5%</t>
  </si>
  <si>
    <t>R-453A</t>
  </si>
  <si>
    <t>HFC-32 Difluoromethane 20%; 
HFC-125 Pentafluoroethane 20%; 
HFC-134a 1,1,1,2-Tetrafluoroethane (norflurane on MSDS) 53.8%; 
HFC-227ea 1,1,1,2,3,3,3-Heptafluoropropane 5%; 
R-600 Butane 0.6%;
R-600a Isobutane 0.6%</t>
  </si>
  <si>
    <t>R-454A</t>
  </si>
  <si>
    <t>HFC-32 Difluoromethane 35%; 
HFO-1234yf 2,3,3,3-Tetrafluoropropene 65%</t>
  </si>
  <si>
    <t>R-454B</t>
  </si>
  <si>
    <t>HFC-32 Difluoromethane 68.9%; 
HFO-1234yf 2,3,3,3-Tetrafluoropropene 31.1%</t>
  </si>
  <si>
    <t>R-454C</t>
  </si>
  <si>
    <t xml:space="preserve">HFO-1234yf 2,3,3,3-Tetrafluoropropene 78.5%; 
HFC-32 Difluoromethane 21.5%
</t>
  </si>
  <si>
    <t>R-455A</t>
  </si>
  <si>
    <r>
      <t>HFC-32 Difluoromethane 21.5%; 
HFO-1234yf 2,3,3,3-Tetrafluoropropene 75.5%;
R-744 CO</t>
    </r>
    <r>
      <rPr>
        <vertAlign val="subscript"/>
        <sz val="10"/>
        <color indexed="8"/>
        <rFont val="Arial"/>
        <family val="2"/>
      </rPr>
      <t xml:space="preserve">2 </t>
    </r>
    <r>
      <rPr>
        <sz val="10"/>
        <color indexed="8"/>
        <rFont val="Arial"/>
        <family val="2"/>
      </rPr>
      <t xml:space="preserve"> 3.0%</t>
    </r>
  </si>
  <si>
    <t>R-456A</t>
  </si>
  <si>
    <t xml:space="preserve">HFO-1234ze(E) 49%; 
HFC-134a 1,1,1,2-Tetrafluoroethane 45%; 
HFC-32 Difluoromethane 6% </t>
  </si>
  <si>
    <t>R-457A</t>
  </si>
  <si>
    <t>HFO-1234yf 2,3,3,3-Tetrafluoropropene 70.0%; 
HFC-32 Difluoromethane 18.0%; 
HFC-152a 1,1-Difluoroethane 12.0%</t>
  </si>
  <si>
    <t>R-458A</t>
  </si>
  <si>
    <t>See also Tdx 20 by Bluon. 
HFC-134a - 61.4%;
HFC-32 - 20.5%;
HFC-227ea - 13.5%; 
HFC-125 - 4.0%; 
HFC-236fa - 0.6%</t>
  </si>
  <si>
    <t>R-461A</t>
  </si>
  <si>
    <t>HFC-125 Pentafluoroethane 55%; 
HFC-134a 1,1,1,2-Tetrafluoroethane 32%; 
HFC-143a 1,1,1-Trifluoroethane 5%;
HFC-227ea 1,1,1,2,3,3,3-Heptafluoropropane 5%;
R-600a isobutane 3%</t>
  </si>
  <si>
    <t>R-462A</t>
  </si>
  <si>
    <t>HFC-134a 1,1,1,2-Tetrafluoroethane 44%; 
HFC-125 Pentafluoroethane 42%; 
HFC-32 Difluoromethane 9%; 
R-600a isobutane 3%; 
HFC-143a 1,1,1-Trifluoroethane 2%</t>
  </si>
  <si>
    <t>R-466A</t>
  </si>
  <si>
    <t>HFC-32 Difluoromethane 49%; 
HFC-125 Pentafluoroethane 11.5%; 
CF3I (trifluoroiodide) 39.5%</t>
  </si>
  <si>
    <t>R-500</t>
  </si>
  <si>
    <t>CFC-12 Dichlorodifluoromethane (73.8%); 
HFC-152a 1,1, Difluoroethane (26.2%)</t>
  </si>
  <si>
    <t>R-502</t>
  </si>
  <si>
    <t>HCFC-22  Monochlorodifluoromethane 48.8%; 
CFC-115 Monochloropentafluoroethane 51.2%</t>
  </si>
  <si>
    <t>12 years (R-22); 
7100 years (R-115)</t>
  </si>
  <si>
    <t>R-503</t>
  </si>
  <si>
    <t>CFC-13 Chlorotrifluoromethane 60% 
HFC-23 Trifluoromethane 40%</t>
  </si>
  <si>
    <t>R-507</t>
  </si>
  <si>
    <t>HFC-125 Pentafluoroethane 50%; 
HFC-143a 1,1,1-Trifluoroethane 50%</t>
  </si>
  <si>
    <t>29 years (R-125); 
52 years (R-143a)</t>
  </si>
  <si>
    <t>R-508A</t>
  </si>
  <si>
    <t>HFC-23 Trifluoromethane 39%
PFC-116 Hexafluoroethane 61%</t>
  </si>
  <si>
    <t>R-508B</t>
  </si>
  <si>
    <t>HFC-23 Trifluoromethane 46%
PFC-116 Hexafluoroethane 54%</t>
  </si>
  <si>
    <t>R-513A</t>
  </si>
  <si>
    <t>HFO-1234yf 2,3,3,3-Tetrafluoropropene 56%; 
HFC-134a 1,1,1,2-Tetrafluoroethane 44%</t>
  </si>
  <si>
    <t>R-514A</t>
  </si>
  <si>
    <t>HFO 1336mzz(Z) - 74.7%; 
Trans-1,2-dichloroethylene (t-DCE) - 25.3%</t>
  </si>
  <si>
    <t>R-515A</t>
  </si>
  <si>
    <t>R-1234ze(E) HFO 88%; 
HFC-227ea heptafluoropropane - 12%</t>
  </si>
  <si>
    <t>R-516A</t>
  </si>
  <si>
    <t>HFO-1234yf 2,3,3,3-Tetrafluoropropene 77.5%;
HFC-152a, 1,1-Difluoroethane 14%; 
HFC-134a 1,1,1,2-Tetrafluoroethane 8.5%</t>
  </si>
  <si>
    <t>SP34E</t>
  </si>
  <si>
    <r>
      <t>HFC-134a 1,1,1,2-Tetrafluoroethane &gt; 96%;
Butane (R-600) C</t>
    </r>
    <r>
      <rPr>
        <vertAlign val="subscript"/>
        <sz val="10"/>
        <color indexed="8"/>
        <rFont val="Arial"/>
        <family val="2"/>
      </rPr>
      <t>5</t>
    </r>
    <r>
      <rPr>
        <sz val="10"/>
        <color indexed="8"/>
        <rFont val="Arial"/>
        <family val="2"/>
      </rPr>
      <t>H</t>
    </r>
    <r>
      <rPr>
        <vertAlign val="subscript"/>
        <sz val="10"/>
        <color indexed="8"/>
        <rFont val="Arial"/>
        <family val="2"/>
      </rPr>
      <t>10</t>
    </r>
    <r>
      <rPr>
        <sz val="10"/>
        <color indexed="8"/>
        <rFont val="Arial"/>
        <family val="2"/>
      </rPr>
      <t xml:space="preserve"> &lt; 3.9%
Additive &lt; 0.1%</t>
    </r>
  </si>
  <si>
    <t>TDX20 see also R-458A</t>
  </si>
  <si>
    <t>TDX20 from Bluon Energy; see also R-458A</t>
  </si>
  <si>
    <t>THR-03</t>
  </si>
  <si>
    <t>THR-03, also THR03</t>
  </si>
  <si>
    <t>DR-3</t>
  </si>
  <si>
    <t>DR-3 is "developmental refrigerant" 3, and is pre-commercial as of May 2016</t>
  </si>
  <si>
    <t>2-BTP</t>
  </si>
  <si>
    <r>
      <t>2-bromotrifluoropropene (C</t>
    </r>
    <r>
      <rPr>
        <vertAlign val="subscript"/>
        <sz val="10"/>
        <rFont val="Arial"/>
        <family val="2"/>
      </rPr>
      <t>3</t>
    </r>
    <r>
      <rPr>
        <sz val="10"/>
        <rFont val="Arial"/>
        <family val="2"/>
      </rPr>
      <t>H</t>
    </r>
    <r>
      <rPr>
        <vertAlign val="subscript"/>
        <sz val="10"/>
        <rFont val="Arial"/>
        <family val="2"/>
      </rPr>
      <t>2</t>
    </r>
    <r>
      <rPr>
        <sz val="10"/>
        <rFont val="Arial"/>
        <family val="2"/>
      </rPr>
      <t>BrF</t>
    </r>
    <r>
      <rPr>
        <vertAlign val="subscript"/>
        <sz val="10"/>
        <rFont val="Arial"/>
        <family val="2"/>
      </rPr>
      <t>3</t>
    </r>
    <r>
      <rPr>
        <sz val="10"/>
        <rFont val="Arial"/>
        <family val="2"/>
      </rPr>
      <t>) (BTP) fire suppressant</t>
    </r>
  </si>
  <si>
    <t>Sources:</t>
  </si>
  <si>
    <t>2)  http://www.epa.gov/climatechange/emissions/downloads/ghg_gwp.pdf   (not a primary source for GWPs)</t>
  </si>
  <si>
    <t>3)  http://www.grida.no/climate/ipcc_tar/wg1/130.htm#tab41a</t>
  </si>
  <si>
    <t>Active GWP</t>
  </si>
  <si>
    <t>Conversions</t>
  </si>
  <si>
    <t>lb</t>
  </si>
  <si>
    <t>=</t>
  </si>
  <si>
    <t>metric ton</t>
  </si>
  <si>
    <t>$/tonne (nominal)</t>
  </si>
  <si>
    <t>Device installation year</t>
  </si>
  <si>
    <t>IOU WACC (Nominal, after-tax)</t>
  </si>
  <si>
    <t>End year</t>
  </si>
  <si>
    <t>Refrigerant GWP</t>
  </si>
  <si>
    <t>Start year</t>
  </si>
  <si>
    <t>Annual leakage (tonnes CO2e)</t>
  </si>
  <si>
    <t>End-of-life leakage (tonnes CO2e)</t>
  </si>
  <si>
    <t>Annual refrigerant leakage %</t>
  </si>
  <si>
    <t>EOL refrigerant leakage %</t>
  </si>
  <si>
    <t>t_EOL</t>
  </si>
  <si>
    <t>CO2 cost (nominal $/tonne CO2)</t>
  </si>
  <si>
    <t>Inputs</t>
  </si>
  <si>
    <t>Intermediate Calculations</t>
  </si>
  <si>
    <t>Result</t>
  </si>
  <si>
    <t>User Dashboard</t>
  </si>
  <si>
    <t>Refrigerant Avoided Cost Calculator</t>
  </si>
  <si>
    <t>Calculations:</t>
  </si>
  <si>
    <t xml:space="preserve">For the California Public Utilities Commission </t>
  </si>
  <si>
    <t>Please note that, for fuel substitution measures, it is critical to take into account the avoided cost of refrigerant leakage from air conditioners, if the building(s) in question would have had an air conditioner in the absence of the measure.</t>
  </si>
  <si>
    <t>Dropdown List</t>
  </si>
  <si>
    <t>If the replacement of an existing or planned air conditioner is not reflected, the net cost of refrigerant leakage from fuel substitution measures could be seriously over-estimated.</t>
  </si>
  <si>
    <t>Controlled by Montreal Protocol; not included in ARB inventory by international convention</t>
  </si>
  <si>
    <t>Use ARB average device lifetime or user-specified?</t>
  </si>
  <si>
    <t>Use ARB average refrigerant charge or user-specified?</t>
  </si>
  <si>
    <t>ARB average</t>
  </si>
  <si>
    <t>User-specified</t>
  </si>
  <si>
    <t>Active device refrigerant charge (lb)</t>
  </si>
  <si>
    <t>SCE</t>
  </si>
  <si>
    <t>SDG&amp;E</t>
  </si>
  <si>
    <t>PG&amp;E</t>
  </si>
  <si>
    <t>WACC selection</t>
  </si>
  <si>
    <t>User-specified WACC (%)</t>
  </si>
  <si>
    <t>Active WACC (%)</t>
  </si>
  <si>
    <t>For example, if a heat pump replaces both a natural gas heater and an air conditioner, the reduction in refrigerant leakage from this replaced air conditioner must be considered in any cost-effectiveness calculations.</t>
  </si>
  <si>
    <t>GWP time horizon (100-yr is default)</t>
  </si>
  <si>
    <t>100-yr</t>
  </si>
  <si>
    <t>Measure type</t>
  </si>
  <si>
    <t>Measure Types</t>
  </si>
  <si>
    <t>Accelerated Replacement</t>
  </si>
  <si>
    <t>New Device</t>
  </si>
  <si>
    <t>Existing Device</t>
  </si>
  <si>
    <t>Device lifetime (yr)</t>
  </si>
  <si>
    <t>Measure</t>
  </si>
  <si>
    <t>Counterfactual</t>
  </si>
  <si>
    <t>No device</t>
  </si>
  <si>
    <t>Measure start year</t>
  </si>
  <si>
    <t>Measure end year</t>
  </si>
  <si>
    <t>New device end-of-life refrigerant leakage (tonnes CO2e)</t>
  </si>
  <si>
    <t>Existing device end-of-life refrigerant leakage (tonnes CO2e)</t>
  </si>
  <si>
    <t>Device retirement year</t>
  </si>
  <si>
    <t>Number of years device was retired early</t>
  </si>
  <si>
    <t>% of device lifetime occuring during measure years</t>
  </si>
  <si>
    <t>% of device lifetime retired early</t>
  </si>
  <si>
    <t>NPV Costs</t>
  </si>
  <si>
    <t>*NPV cost from end-of-life leakage is scaled based on how much of the device lifetime occurred during the measure lifetime and how early the device was retired relative to its effective useful life</t>
  </si>
  <si>
    <t>Measure Lifetime Highlighted in Calculations</t>
  </si>
  <si>
    <t>User Specified</t>
  </si>
  <si>
    <t>None</t>
  </si>
  <si>
    <t>New device annual refrigerant leakage during measure life (tonnes CO2e)</t>
  </si>
  <si>
    <t>Existing device annual refrigerant leakage during measure life (tonnes CO2e)</t>
  </si>
  <si>
    <t>Number of device lifetime years overlapping with measure years</t>
  </si>
  <si>
    <t>Cost from new device annual refrigerant leakage during measure life (nominal $)</t>
  </si>
  <si>
    <t>Cost from existing device annual refrigerant leakage during measure life (nominal $)</t>
  </si>
  <si>
    <t>Cost from new device end-of-life leakage (nominal $)</t>
  </si>
  <si>
    <t>Cost from existing device end-of-life leakage (nominal $)</t>
  </si>
  <si>
    <t>CARB database</t>
  </si>
  <si>
    <t>Normal Replacement or Add-on Equipment</t>
  </si>
  <si>
    <t>Date</t>
  </si>
  <si>
    <t>Tab</t>
  </si>
  <si>
    <t>First Cell</t>
  </si>
  <si>
    <t>D19</t>
  </si>
  <si>
    <t>Dashboard</t>
  </si>
  <si>
    <t>Updated user dashboard to have an input for measure type</t>
  </si>
  <si>
    <t>Added input dashboard columns for both new and existing devices in the measure and counterfactual</t>
  </si>
  <si>
    <t>D34</t>
  </si>
  <si>
    <t>Added cells showing device retirement year and number of years of early retirement</t>
  </si>
  <si>
    <t>D41</t>
  </si>
  <si>
    <t>Updated dropdown to include user-specified refrigerant</t>
  </si>
  <si>
    <t>Added cells for user to input GWP for a user-specified refrigerant</t>
  </si>
  <si>
    <t>C45</t>
  </si>
  <si>
    <t>Added cells showing measure start and end years</t>
  </si>
  <si>
    <t>E61</t>
  </si>
  <si>
    <t>Added intermediate calculations for new and existing devices</t>
  </si>
  <si>
    <t>C64</t>
  </si>
  <si>
    <t>Added intermediate calculations showing the percentage of device lifetime occuring during measure years and the percentage of device lifetime retired early</t>
  </si>
  <si>
    <t>B76</t>
  </si>
  <si>
    <t>Updated calculations to calculate PV cost streams from annual refrigerant leakage and end-of-life leakage from all relevant devices</t>
  </si>
  <si>
    <t>Discounting is applied at the mid year (starting 0.5 years after the beginning of the measure start year)</t>
  </si>
  <si>
    <t>E113</t>
  </si>
  <si>
    <t>Added a table showing the total NPV cost for the measure and counterfactual case, and the breakdown by leakage type</t>
  </si>
  <si>
    <t>ACC Inputs</t>
  </si>
  <si>
    <t>B6</t>
  </si>
  <si>
    <t>Added a list of measure types for dashboard dropdown</t>
  </si>
  <si>
    <t>Refrigerant Leakage</t>
  </si>
  <si>
    <t>A41</t>
  </si>
  <si>
    <t>Added row for "no device" with 0 refrigerant leakage</t>
  </si>
  <si>
    <t>A155</t>
  </si>
  <si>
    <t>Added row for user-specified refrigerant with a note that the user should specify the GWP on the dashboard</t>
  </si>
  <si>
    <t>User-specified device refrigerant charge (lb) (applicable for user-specified charge)</t>
  </si>
  <si>
    <t>User-specified device lifetime (yr) (applicable for user-specified lifetime)</t>
  </si>
  <si>
    <t>User-specified refrigerant GWP (applicable for user-specified refrigerant)</t>
  </si>
  <si>
    <t>Use this calculator to calculate the avoided costs of refrigerant leakage for devices containing a refrigerant, when refrigerant type or amount is changed or a device is replaced early.</t>
  </si>
  <si>
    <t>This calculator can be used to calculate the avoided cost compared to a counterfactual for three measure types including:</t>
  </si>
  <si>
    <t xml:space="preserve">1) Normal Replacement Measure, where a device is replaced by a new device at the end of its useful life </t>
  </si>
  <si>
    <t>2) Add-on Equipment Measure, where a new piece of equipment is installed alongside existing equipment</t>
  </si>
  <si>
    <t>3) Accelerated Replacement Measure, where an existing device is retired early and replaced with a new device</t>
  </si>
  <si>
    <t>Note that the output field is labeled "NPV avoided costs" regardless of whether that value represents a benefit or a cost, so users must be careful to input this data correctly into their cost-effectiveness tools.</t>
  </si>
  <si>
    <t>Updated text description of the calculator to reflect changes</t>
  </si>
  <si>
    <t>since it does not contribute to the relative avoided costs. However, if Accelerated Replacement is chosen as the measure type, both new and existing device inputs must be specified to calculate avoided costs. For Accelerated Replacement</t>
  </si>
  <si>
    <t>measures, it is assumed that the existing device and refrigerant are the same between the measure and the counterfactual case. However, in the counterfactual case, the existing device is retired at the end of its useful life.</t>
  </si>
  <si>
    <t>E7</t>
  </si>
  <si>
    <t>Updated Nominal After-tax WACC to most recent values</t>
  </si>
  <si>
    <t>D4</t>
  </si>
  <si>
    <t>Upated GHG Adder costs to align with updated 2022 ACC Electric Model</t>
  </si>
  <si>
    <t>Not Available</t>
  </si>
  <si>
    <t xml:space="preserve">1)  http://www.ipcc.ch/pdf/assessment-report/ar4/wg1/ar4-wg1-chapter2.pdf (see Table 2.14 for GWP values) </t>
  </si>
  <si>
    <t>Refrigerant GWPs</t>
  </si>
  <si>
    <t>A157</t>
  </si>
  <si>
    <t>Added a clarifying note on where to find the listed GWP values in the primary source</t>
  </si>
  <si>
    <t>User must specify refrigerant GWP on the Dashboard sheet. Note that the California Air Resources Board maintains a list of common refrigerants available at: https://ww2.arb.ca.gov/resources/documents/high-gwp-refrigerants</t>
  </si>
  <si>
    <t>Filled in empty cells with text denoting "Not Available" where refrigerant GWPs were not available from the sources listed</t>
  </si>
  <si>
    <t>For Normal Replacement and Add-on Equipment Measures, it is assumed that the existing equipment is the same between the measure and counterfactual case, and thus does not need to be specified by the user measure</t>
  </si>
  <si>
    <t>Device Type (see Refrigerant Leakage tab for list of devices)</t>
  </si>
  <si>
    <t>Device refrigerant used (see Refrigerang GWPs tab for list of refrigerants)</t>
  </si>
  <si>
    <t>2022 v1b</t>
  </si>
  <si>
    <t>2022 v1a</t>
  </si>
  <si>
    <t>Model Version</t>
  </si>
  <si>
    <t>E95</t>
  </si>
  <si>
    <t xml:space="preserve">Corrected the dollar year mistake that was in v1a by replacing the year 2022 with 2020 in the cost calculations that are supposed to reflect values in 2020$ </t>
  </si>
  <si>
    <t>GHG Value from Natural Gas ACC</t>
  </si>
  <si>
    <t>ACC inputs</t>
  </si>
  <si>
    <t>Updated the GHG value to align with the GHG Value from Natural Gas ACC</t>
  </si>
  <si>
    <t>2022 v1b updated</t>
  </si>
  <si>
    <t>PV cost stream from new device annual refrigerant leakage relative to measure start year</t>
  </si>
  <si>
    <t>PV cost stream from existing device annual refrigerant leakage relative to measure start year</t>
  </si>
  <si>
    <t>PV cost stream from new device end-of-life leakage relative to measure start year</t>
  </si>
  <si>
    <t>PV cost stream from existing device end-of-life leakage relative to measure start year</t>
  </si>
  <si>
    <t>Corrected a mistake where inflation was being improperly accounted for in the PV cost streams. Now all PV fost streams are present values relative to the measure start year, and dollar year conversions happen later starting in cell E124. This error was present in 2022 v1a and v1b.</t>
  </si>
  <si>
    <t>Dollar Year</t>
  </si>
  <si>
    <t>Inflation Rate</t>
  </si>
  <si>
    <t>G7</t>
  </si>
  <si>
    <t>Updated dollar year so that outputs are in 2022$</t>
  </si>
  <si>
    <t>E96, E123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</si>
</sst>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8" formatCode="&quot;$&quot;#,##0.00_);[Red]\(&quot;$&quot;#,##0.00\)"/>
    <numFmt numFmtId="44" formatCode="_(&quot;$&quot;* #,##0.00_);_(&quot;$&quot;* \(#,##0.00\);_(&quot;$&quot;* &quot;-&quot;??_);_(@_)"/>
    <numFmt numFmtId="43" formatCode="_(* #,##0.00_);_(* \(#,##0.00\);_(* &quot;-&quot;??_);_(@_)"/>
    <numFmt numFmtId="164" formatCode="0.000000"/>
    <numFmt numFmtId="165" formatCode="0.0%"/>
    <numFmt numFmtId="166" formatCode="&quot;$&quot;#,##0.00"/>
    <numFmt numFmtId="167" formatCode="_(* #,##0.0_);_(* \(#,##0.0\);_(* &quot;-&quot;??_);_(@_)"/>
    <numFmt numFmtId="168" formatCode="#,##0.000_);\(#,##0.000\)"/>
    <numFmt numFmtId="169" formatCode="#,##0.0_);\(#,##0.0\)"/>
    <numFmt numFmtId="170" formatCode="0.000"/>
    <numFmt numFmtId="171" formatCode="0_);\(0\)"/>
    <numFmt numFmtId="172" formatCode="_(&quot;$&quot;* #,##0_);_(&quot;$&quot;* \(#,##0\);_(&quot;$&quot;* &quot;-&quot;??_);_(@_)"/>
  </numFmts>
  <fonts count="62"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Calibri"/>
      <family val="2"/>
      <scheme val="minor"/>
    </font>
    <font>
      <b/>
      <sz val="11"/>
      <name val="Calibri"/>
      <family val="2"/>
      <scheme val="minor"/>
    </font>
    <font>
      <i/>
      <sz val="10"/>
      <color theme="1"/>
      <name val="Calibri"/>
      <family val="2"/>
      <scheme val="minor"/>
    </font>
    <font>
      <sz val="10"/>
      <color theme="1"/>
      <name val="Calibri"/>
      <family val="2"/>
      <scheme val="minor"/>
    </font>
    <font>
      <b/>
      <sz val="16"/>
      <color theme="1"/>
      <name val="Calibri"/>
      <family val="2"/>
      <scheme val="minor"/>
    </font>
    <font>
      <b/>
      <sz val="10"/>
      <color indexed="9"/>
      <name val="Calibri"/>
      <family val="2"/>
      <scheme val="minor"/>
    </font>
    <font>
      <sz val="11"/>
      <name val="Calibri"/>
      <family val="2"/>
    </font>
    <font>
      <b/>
      <sz val="11"/>
      <color theme="1"/>
      <name val="Calibri"/>
      <family val="2"/>
      <scheme val="minor"/>
    </font>
    <font>
      <b/>
      <sz val="14"/>
      <color theme="1"/>
      <name val="Calibri"/>
      <family val="2"/>
      <scheme val="minor"/>
    </font>
    <font>
      <b/>
      <sz val="10"/>
      <color rgb="FF000000"/>
      <name val="Tahoma"/>
      <family val="2"/>
    </font>
    <font>
      <sz val="10"/>
      <color rgb="FF000000"/>
      <name val="Tahoma"/>
      <family val="2"/>
    </font>
    <font>
      <b/>
      <sz val="10"/>
      <name val="Arial"/>
      <family val="2"/>
    </font>
    <font>
      <vertAlign val="subscript"/>
      <sz val="10"/>
      <name val="Arial"/>
      <family val="2"/>
    </font>
    <font>
      <sz val="10"/>
      <color theme="1"/>
      <name val="Arial"/>
      <family val="2"/>
    </font>
    <font>
      <b/>
      <vertAlign val="subscript"/>
      <sz val="10"/>
      <name val="Arial"/>
      <family val="2"/>
    </font>
    <font>
      <b/>
      <sz val="11"/>
      <name val="Times New Roman"/>
      <family val="1"/>
    </font>
    <font>
      <sz val="11"/>
      <name val="Times New Roman"/>
      <family val="1"/>
    </font>
    <font>
      <vertAlign val="subscript"/>
      <sz val="10"/>
      <color indexed="8"/>
      <name val="Arial"/>
      <family val="2"/>
    </font>
    <font>
      <sz val="10"/>
      <color indexed="8"/>
      <name val="Arial"/>
      <family val="2"/>
    </font>
    <font>
      <b/>
      <sz val="10"/>
      <color theme="1"/>
      <name val="Arial"/>
      <family val="2"/>
    </font>
    <font>
      <sz val="9"/>
      <color indexed="8"/>
      <name val="Arial"/>
      <family val="2"/>
    </font>
    <font>
      <sz val="10"/>
      <color rgb="FF000000"/>
      <name val="Arial"/>
      <family val="2"/>
    </font>
    <font>
      <b/>
      <sz val="9"/>
      <color rgb="FF000000"/>
      <name val="Tahoma"/>
      <family val="2"/>
    </font>
    <font>
      <sz val="9"/>
      <color rgb="FF000000"/>
      <name val="Tahoma"/>
      <family val="2"/>
    </font>
    <font>
      <sz val="11"/>
      <color rgb="FFFFFFFF"/>
      <name val="Calibri"/>
      <family val="2"/>
    </font>
    <font>
      <b/>
      <sz val="16"/>
      <color theme="0"/>
      <name val="Calibri"/>
      <family val="2"/>
      <scheme val="minor"/>
    </font>
    <font>
      <b/>
      <sz val="12"/>
      <color theme="1"/>
      <name val="Calibri"/>
      <family val="2"/>
      <scheme val="minor"/>
    </font>
    <font>
      <b/>
      <sz val="20"/>
      <color theme="1"/>
      <name val="Calibri"/>
      <family val="2"/>
      <scheme val="minor"/>
    </font>
    <font>
      <b/>
      <sz val="24"/>
      <color theme="1"/>
      <name val="Calibri"/>
      <family val="2"/>
      <scheme val="minor"/>
    </font>
    <font>
      <sz val="11"/>
      <name val="Calibri"/>
      <family val="2"/>
      <scheme val="minor"/>
    </font>
    <font>
      <i/>
      <sz val="18"/>
      <color theme="1"/>
      <name val="Calibri"/>
      <family val="2"/>
      <scheme val="minor"/>
    </font>
    <font>
      <sz val="11"/>
      <color theme="0"/>
      <name val="Calibri"/>
      <family val="2"/>
      <scheme val="minor"/>
    </font>
    <font>
      <sz val="12"/>
      <color theme="1"/>
      <name val="Calibri"/>
      <family val="2"/>
      <scheme val="minor"/>
    </font>
    <font>
      <i/>
      <sz val="11"/>
      <color rgb="FF7F7F7F"/>
      <name val="Calibri"/>
      <family val="2"/>
      <scheme val="minor"/>
    </font>
    <font>
      <sz val="9"/>
      <color indexed="81"/>
      <name val="Tahoma"/>
      <charset val="1"/>
    </font>
    <font>
      <i/>
      <sz val="10"/>
      <color rgb="FF7F7F7F"/>
      <name val="Calibri"/>
      <family val="2"/>
      <scheme val="minor"/>
    </font>
    <font>
      <b/>
      <sz val="9"/>
      <color indexed="81"/>
      <name val="Tahoma"/>
      <charset val="1"/>
    </font>
    <font>
      <sz val="9"/>
      <color theme="1"/>
      <name val="Arial"/>
      <family val="2"/>
    </font>
    <font>
      <sz val="9"/>
      <name val="Arial"/>
      <family val="2"/>
    </font>
    <font>
      <b/>
      <sz val="10"/>
      <color theme="0"/>
      <name val="Arial"/>
      <family val="2"/>
    </font>
    <font>
      <b/>
      <i/>
      <u/>
      <sz val="9"/>
      <color theme="9"/>
      <name val="Arial"/>
      <family val="2"/>
    </font>
    <font>
      <b/>
      <sz val="22"/>
      <color theme="4"/>
      <name val="Calibri Light"/>
      <family val="2"/>
      <scheme val="major"/>
    </font>
    <font>
      <b/>
      <sz val="14"/>
      <name val="Calibri"/>
      <family val="2"/>
      <scheme val="minor"/>
    </font>
    <font>
      <sz val="9"/>
      <name val="Calibri"/>
      <family val="2"/>
      <scheme val="minor"/>
    </font>
    <font>
      <i/>
      <sz val="9"/>
      <name val="Calibri"/>
      <family val="2"/>
      <scheme val="minor"/>
    </font>
    <font>
      <b/>
      <sz val="9"/>
      <color theme="0"/>
      <name val="Calibri"/>
      <family val="2"/>
      <scheme val="minor"/>
    </font>
    <font>
      <sz val="9"/>
      <color rgb="FFE85F31"/>
      <name val="Calibri"/>
      <family val="2"/>
      <scheme val="minor"/>
    </font>
    <font>
      <b/>
      <i/>
      <sz val="9"/>
      <color theme="1"/>
      <name val="Arial"/>
      <family val="2"/>
    </font>
    <font>
      <sz val="9"/>
      <color rgb="FF9C0006"/>
      <name val="Calibri"/>
      <family val="2"/>
      <scheme val="minor"/>
    </font>
    <font>
      <sz val="9"/>
      <color rgb="FF006100"/>
      <name val="Calibri"/>
      <family val="2"/>
      <scheme val="minor"/>
    </font>
    <font>
      <sz val="9"/>
      <color rgb="FF9C5700"/>
      <name val="Calibri"/>
      <family val="2"/>
      <scheme val="minor"/>
    </font>
    <font>
      <b/>
      <i/>
      <sz val="9"/>
      <color theme="6" tint="-0.24994659260841701"/>
      <name val="Calibri"/>
      <family val="2"/>
      <scheme val="minor"/>
    </font>
    <font>
      <b/>
      <sz val="9"/>
      <color theme="1"/>
      <name val="Calibri"/>
      <family val="2"/>
      <scheme val="minor"/>
    </font>
    <font>
      <b/>
      <sz val="13"/>
      <color theme="4"/>
      <name val="Calibri"/>
      <family val="2"/>
      <scheme val="minor"/>
    </font>
    <font>
      <b/>
      <sz val="11"/>
      <color theme="4"/>
      <name val="Calibri"/>
      <family val="2"/>
      <scheme val="minor"/>
    </font>
    <font>
      <b/>
      <i/>
      <sz val="10"/>
      <color theme="4"/>
      <name val="Calibri"/>
      <family val="2"/>
      <scheme val="minor"/>
    </font>
    <font>
      <i/>
      <sz val="9"/>
      <color theme="1" tint="0.499984740745262"/>
      <name val="Calibri"/>
      <family val="2"/>
      <scheme val="minor"/>
    </font>
    <font>
      <sz val="10"/>
      <color theme="0"/>
      <name val="Arial"/>
      <family val="2"/>
    </font>
  </fonts>
  <fills count="2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5070"/>
        <bgColor indexed="64"/>
      </patternFill>
    </fill>
    <fill>
      <patternFill patternType="solid">
        <fgColor indexed="43"/>
        <bgColor indexed="64"/>
      </patternFill>
    </fill>
    <fill>
      <patternFill patternType="solid">
        <fgColor rgb="FF99CCFF"/>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rgb="FF034E6E"/>
        <bgColor rgb="FF000000"/>
      </patternFill>
    </fill>
    <fill>
      <patternFill patternType="solid">
        <fgColor rgb="FFF2F2F2"/>
        <bgColor rgb="FF000000"/>
      </patternFill>
    </fill>
    <fill>
      <patternFill patternType="solid">
        <fgColor rgb="FFCC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3" tint="0.79998168889431442"/>
        <bgColor indexed="64"/>
      </patternFill>
    </fill>
    <fill>
      <patternFill patternType="solid">
        <fgColor rgb="FFFFFFCC"/>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theme="8" tint="0.59999389629810485"/>
        <bgColor indexed="64"/>
      </patternFill>
    </fill>
    <fill>
      <patternFill patternType="solid">
        <fgColor theme="0" tint="-0.24994659260841701"/>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3" tint="0.39994506668294322"/>
      </bottom>
      <diagonal/>
    </border>
    <border>
      <left/>
      <right/>
      <top/>
      <bottom style="medium">
        <color theme="4" tint="0.39994506668294322"/>
      </bottom>
      <diagonal/>
    </border>
    <border>
      <left style="thin">
        <color theme="4"/>
      </left>
      <right style="thin">
        <color theme="4"/>
      </right>
      <top style="thin">
        <color theme="4"/>
      </top>
      <bottom style="thin">
        <color theme="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164" fontId="3" fillId="0" borderId="0">
      <alignment horizontal="left" wrapText="1"/>
    </xf>
    <xf numFmtId="0" fontId="1" fillId="0" borderId="0"/>
    <xf numFmtId="9" fontId="3" fillId="0" borderId="0" applyFont="0" applyFill="0" applyBorder="0" applyAlignment="0" applyProtection="0"/>
    <xf numFmtId="0" fontId="2" fillId="2" borderId="12" applyNumberFormat="0" applyBorder="0">
      <alignment horizontal="center" vertical="center" wrapText="1"/>
    </xf>
    <xf numFmtId="0" fontId="6" fillId="4" borderId="13" applyNumberFormat="0">
      <alignment horizontal="left" vertical="center"/>
    </xf>
    <xf numFmtId="10" fontId="7" fillId="0" borderId="0" applyFont="0" applyFill="0" applyBorder="0" applyAlignment="0" applyProtection="0"/>
    <xf numFmtId="0" fontId="8" fillId="0" borderId="14"/>
    <xf numFmtId="43" fontId="7" fillId="0" borderId="0" applyFont="0" applyFill="0" applyBorder="0" applyAlignment="0" applyProtection="0"/>
    <xf numFmtId="0" fontId="7" fillId="0" borderId="0"/>
    <xf numFmtId="9" fontId="7" fillId="0" borderId="0" applyFont="0" applyFill="0" applyBorder="0" applyAlignment="0" applyProtection="0"/>
    <xf numFmtId="0" fontId="3" fillId="0" borderId="0"/>
    <xf numFmtId="43" fontId="3" fillId="0" borderId="0" applyFont="0" applyFill="0" applyBorder="0" applyAlignment="0" applyProtection="0"/>
    <xf numFmtId="0" fontId="37" fillId="0" borderId="0" applyNumberFormat="0" applyFill="0" applyBorder="0" applyAlignment="0" applyProtection="0"/>
    <xf numFmtId="0" fontId="41" fillId="0" borderId="0">
      <alignment vertical="center"/>
    </xf>
    <xf numFmtId="0" fontId="43" fillId="2" borderId="34" applyNumberFormat="0">
      <alignment vertical="center"/>
    </xf>
    <xf numFmtId="0" fontId="41" fillId="20" borderId="13" applyNumberFormat="0">
      <alignment vertical="center"/>
    </xf>
    <xf numFmtId="0" fontId="42" fillId="0" borderId="13" applyNumberFormat="0">
      <alignment vertical="center"/>
    </xf>
    <xf numFmtId="0" fontId="41" fillId="22" borderId="13" applyAlignment="0">
      <alignment horizontal="left"/>
    </xf>
    <xf numFmtId="9" fontId="7" fillId="0" borderId="0" applyFont="0" applyFill="0" applyBorder="0" applyAlignment="0" applyProtection="0">
      <protection locked="0"/>
    </xf>
    <xf numFmtId="43" fontId="7" fillId="0" borderId="0" applyFont="0" applyFill="0" applyBorder="0" applyAlignment="0" applyProtection="0">
      <protection locked="0"/>
    </xf>
    <xf numFmtId="0" fontId="44" fillId="23" borderId="13" applyNumberFormat="0" applyProtection="0">
      <alignment vertical="center"/>
    </xf>
    <xf numFmtId="44" fontId="41" fillId="0" borderId="0" applyFont="0" applyFill="0" applyBorder="0" applyAlignment="0" applyProtection="0">
      <protection locked="0"/>
    </xf>
    <xf numFmtId="0" fontId="45" fillId="0" borderId="31" applyNumberFormat="0" applyAlignment="0"/>
    <xf numFmtId="0" fontId="46" fillId="0" borderId="14" applyNumberFormat="0" applyAlignment="0"/>
    <xf numFmtId="0" fontId="57" fillId="0" borderId="31" applyNumberFormat="0" applyAlignment="0">
      <alignment vertical="center"/>
    </xf>
    <xf numFmtId="0" fontId="58" fillId="0" borderId="33" applyNumberFormat="0" applyAlignment="0"/>
    <xf numFmtId="0" fontId="59" fillId="0" borderId="32" applyNumberFormat="0" applyAlignment="0"/>
    <xf numFmtId="0" fontId="53" fillId="16" borderId="0" applyNumberFormat="0" applyBorder="0" applyProtection="0">
      <alignment vertical="center"/>
    </xf>
    <xf numFmtId="0" fontId="52" fillId="17" borderId="0" applyNumberFormat="0" applyBorder="0" applyProtection="0">
      <alignment vertical="center"/>
    </xf>
    <xf numFmtId="0" fontId="54" fillId="18" borderId="0" applyNumberFormat="0" applyBorder="0" applyProtection="0">
      <alignment vertical="center"/>
    </xf>
    <xf numFmtId="0" fontId="47" fillId="21" borderId="13" applyNumberFormat="0">
      <alignment vertical="center"/>
    </xf>
    <xf numFmtId="0" fontId="48" fillId="4" borderId="13" applyNumberFormat="0">
      <alignment vertical="center"/>
    </xf>
    <xf numFmtId="0" fontId="48" fillId="3" borderId="13" applyNumberFormat="0">
      <alignment vertical="center"/>
    </xf>
    <xf numFmtId="0" fontId="50" fillId="0" borderId="28" applyNumberFormat="0">
      <alignment vertical="center"/>
    </xf>
    <xf numFmtId="0" fontId="49" fillId="19" borderId="29" applyNumberFormat="0">
      <alignment vertical="center"/>
    </xf>
    <xf numFmtId="0" fontId="55" fillId="0" borderId="0" applyNumberFormat="0" applyFill="0" applyBorder="0">
      <alignment vertical="center"/>
    </xf>
    <xf numFmtId="0" fontId="51" fillId="24" borderId="13" applyNumberFormat="0">
      <alignment vertical="center"/>
    </xf>
    <xf numFmtId="0" fontId="60" fillId="0" borderId="0" applyNumberFormat="0" applyFill="0" applyBorder="0" applyAlignment="0"/>
    <xf numFmtId="0" fontId="56" fillId="0" borderId="30" applyNumberFormat="0">
      <alignment vertical="center"/>
    </xf>
    <xf numFmtId="22" fontId="41" fillId="0" borderId="0" applyFont="0" applyFill="0" applyBorder="0" applyProtection="0">
      <alignment vertical="center"/>
      <protection locked="0"/>
    </xf>
    <xf numFmtId="172" fontId="41" fillId="0" borderId="0" applyFont="0" applyFill="0" applyBorder="0" applyProtection="0">
      <alignment vertical="center"/>
      <protection locked="0"/>
    </xf>
    <xf numFmtId="0" fontId="48" fillId="26" borderId="13" applyNumberFormat="0">
      <alignment vertical="center"/>
    </xf>
    <xf numFmtId="0" fontId="47" fillId="25" borderId="13" applyNumberFormat="0">
      <alignment vertical="center"/>
    </xf>
  </cellStyleXfs>
  <cellXfs count="194">
    <xf numFmtId="0" fontId="0" fillId="0" borderId="0" xfId="0"/>
    <xf numFmtId="0" fontId="0" fillId="9" borderId="0" xfId="0" applyFill="1"/>
    <xf numFmtId="0" fontId="0" fillId="9" borderId="0" xfId="0" applyFill="1" applyAlignment="1">
      <alignment horizontal="center" vertical="center" wrapText="1"/>
    </xf>
    <xf numFmtId="0" fontId="2" fillId="2" borderId="9" xfId="0" applyFont="1" applyFill="1" applyBorder="1" applyAlignment="1">
      <alignment horizontal="center" vertical="center" wrapText="1"/>
    </xf>
    <xf numFmtId="0" fontId="0" fillId="0" borderId="9" xfId="0" applyBorder="1" applyAlignment="1">
      <alignment wrapText="1"/>
    </xf>
    <xf numFmtId="0" fontId="0" fillId="0" borderId="9" xfId="0" applyBorder="1"/>
    <xf numFmtId="37" fontId="0" fillId="0" borderId="9" xfId="0" applyNumberFormat="1" applyBorder="1"/>
    <xf numFmtId="165" fontId="0" fillId="0" borderId="9" xfId="0" applyNumberFormat="1" applyBorder="1"/>
    <xf numFmtId="9" fontId="5" fillId="3" borderId="9" xfId="2" applyFont="1" applyFill="1" applyBorder="1" applyAlignment="1">
      <alignment horizontal="center"/>
    </xf>
    <xf numFmtId="167" fontId="0" fillId="0" borderId="9" xfId="1" applyNumberFormat="1" applyFont="1" applyBorder="1"/>
    <xf numFmtId="165" fontId="0" fillId="0" borderId="9" xfId="0" applyNumberFormat="1" applyBorder="1" applyAlignment="1">
      <alignment wrapText="1"/>
    </xf>
    <xf numFmtId="168" fontId="0" fillId="0" borderId="9" xfId="0" applyNumberFormat="1" applyBorder="1"/>
    <xf numFmtId="169" fontId="0" fillId="0" borderId="9" xfId="0" applyNumberFormat="1" applyBorder="1"/>
    <xf numFmtId="39" fontId="0" fillId="0" borderId="9" xfId="0" applyNumberFormat="1" applyBorder="1"/>
    <xf numFmtId="0" fontId="15" fillId="0" borderId="0" xfId="13" applyFont="1" applyAlignment="1">
      <alignment wrapText="1"/>
    </xf>
    <xf numFmtId="0" fontId="15" fillId="10" borderId="9" xfId="13" applyFont="1" applyFill="1" applyBorder="1"/>
    <xf numFmtId="0" fontId="3" fillId="0" borderId="9" xfId="13" applyBorder="1"/>
    <xf numFmtId="1" fontId="17" fillId="0" borderId="9" xfId="13" applyNumberFormat="1" applyFont="1" applyBorder="1" applyAlignment="1">
      <alignment horizontal="right"/>
    </xf>
    <xf numFmtId="1" fontId="17" fillId="0" borderId="1" xfId="13" applyNumberFormat="1" applyFont="1" applyBorder="1" applyAlignment="1">
      <alignment horizontal="right"/>
    </xf>
    <xf numFmtId="0" fontId="3" fillId="0" borderId="0" xfId="13"/>
    <xf numFmtId="0" fontId="15" fillId="10" borderId="16" xfId="13" applyFont="1" applyFill="1" applyBorder="1"/>
    <xf numFmtId="0" fontId="3" fillId="0" borderId="11" xfId="13" applyBorder="1"/>
    <xf numFmtId="1" fontId="17" fillId="0" borderId="6" xfId="13" applyNumberFormat="1" applyFont="1" applyBorder="1" applyAlignment="1">
      <alignment horizontal="right"/>
    </xf>
    <xf numFmtId="1" fontId="17" fillId="0" borderId="5" xfId="13" applyNumberFormat="1" applyFont="1" applyBorder="1" applyAlignment="1">
      <alignment horizontal="right"/>
    </xf>
    <xf numFmtId="0" fontId="15" fillId="10" borderId="17" xfId="13" applyFont="1" applyFill="1" applyBorder="1"/>
    <xf numFmtId="0" fontId="3" fillId="0" borderId="2" xfId="13" applyBorder="1"/>
    <xf numFmtId="0" fontId="15" fillId="10" borderId="18" xfId="13" applyFont="1" applyFill="1" applyBorder="1"/>
    <xf numFmtId="0" fontId="3" fillId="0" borderId="10" xfId="13" applyBorder="1"/>
    <xf numFmtId="1" fontId="17" fillId="0" borderId="15" xfId="13" applyNumberFormat="1" applyFont="1" applyBorder="1" applyAlignment="1">
      <alignment horizontal="right"/>
    </xf>
    <xf numFmtId="1" fontId="17" fillId="0" borderId="4" xfId="13" applyNumberFormat="1" applyFont="1" applyBorder="1" applyAlignment="1">
      <alignment horizontal="right"/>
    </xf>
    <xf numFmtId="0" fontId="15" fillId="10" borderId="19" xfId="13" applyFont="1" applyFill="1" applyBorder="1"/>
    <xf numFmtId="0" fontId="3" fillId="9" borderId="2" xfId="13" applyFill="1" applyBorder="1"/>
    <xf numFmtId="0" fontId="3" fillId="9" borderId="9" xfId="13" applyFill="1" applyBorder="1"/>
    <xf numFmtId="1" fontId="17" fillId="0" borderId="9" xfId="14" applyNumberFormat="1" applyFont="1" applyFill="1" applyBorder="1" applyAlignment="1">
      <alignment horizontal="right"/>
    </xf>
    <xf numFmtId="1" fontId="17" fillId="0" borderId="1" xfId="14" applyNumberFormat="1" applyFont="1" applyFill="1" applyBorder="1" applyAlignment="1">
      <alignment horizontal="right"/>
    </xf>
    <xf numFmtId="0" fontId="3" fillId="0" borderId="10" xfId="13" applyBorder="1" applyAlignment="1">
      <alignment wrapText="1"/>
    </xf>
    <xf numFmtId="0" fontId="3" fillId="0" borderId="9" xfId="13" applyBorder="1" applyAlignment="1">
      <alignment wrapText="1"/>
    </xf>
    <xf numFmtId="1" fontId="17" fillId="0" borderId="9" xfId="13" applyNumberFormat="1" applyFont="1" applyBorder="1" applyAlignment="1">
      <alignment horizontal="right" wrapText="1"/>
    </xf>
    <xf numFmtId="0" fontId="17" fillId="0" borderId="9" xfId="13" applyFont="1" applyBorder="1" applyAlignment="1">
      <alignment wrapText="1"/>
    </xf>
    <xf numFmtId="1" fontId="17" fillId="0" borderId="9" xfId="13" applyNumberFormat="1" applyFont="1" applyBorder="1"/>
    <xf numFmtId="1" fontId="17" fillId="0" borderId="1" xfId="13" applyNumberFormat="1" applyFont="1" applyBorder="1"/>
    <xf numFmtId="0" fontId="23" fillId="10" borderId="9" xfId="13" applyFont="1" applyFill="1" applyBorder="1"/>
    <xf numFmtId="1" fontId="17" fillId="0" borderId="1" xfId="13" applyNumberFormat="1" applyFont="1" applyBorder="1" applyAlignment="1">
      <alignment horizontal="right" wrapText="1"/>
    </xf>
    <xf numFmtId="1" fontId="23" fillId="0" borderId="9" xfId="13" applyNumberFormat="1" applyFont="1" applyBorder="1" applyAlignment="1">
      <alignment horizontal="right"/>
    </xf>
    <xf numFmtId="1" fontId="23" fillId="0" borderId="1" xfId="13" applyNumberFormat="1" applyFont="1" applyBorder="1" applyAlignment="1">
      <alignment horizontal="right"/>
    </xf>
    <xf numFmtId="1" fontId="17" fillId="0" borderId="0" xfId="13" applyNumberFormat="1" applyFont="1" applyAlignment="1">
      <alignment horizontal="right"/>
    </xf>
    <xf numFmtId="0" fontId="3" fillId="9" borderId="9" xfId="13" applyFill="1" applyBorder="1" applyAlignment="1">
      <alignment wrapText="1"/>
    </xf>
    <xf numFmtId="1" fontId="17" fillId="0" borderId="0" xfId="13" applyNumberFormat="1" applyFont="1"/>
    <xf numFmtId="0" fontId="25" fillId="0" borderId="0" xfId="13" applyFont="1" applyAlignment="1">
      <alignment vertical="center"/>
    </xf>
    <xf numFmtId="0" fontId="28" fillId="11" borderId="4" xfId="0" applyFont="1" applyFill="1" applyBorder="1" applyAlignment="1">
      <alignment horizontal="center"/>
    </xf>
    <xf numFmtId="0" fontId="28" fillId="11" borderId="8" xfId="0" applyFont="1" applyFill="1" applyBorder="1" applyAlignment="1">
      <alignment horizontal="center"/>
    </xf>
    <xf numFmtId="0" fontId="28" fillId="11" borderId="10" xfId="0" applyFont="1" applyFill="1" applyBorder="1" applyAlignment="1">
      <alignment horizontal="center"/>
    </xf>
    <xf numFmtId="0" fontId="0" fillId="9" borderId="0" xfId="0" applyFill="1" applyAlignment="1">
      <alignment horizontal="right" vertical="center"/>
    </xf>
    <xf numFmtId="10" fontId="10" fillId="12" borderId="6" xfId="2" applyNumberFormat="1" applyFont="1" applyFill="1" applyBorder="1" applyAlignment="1">
      <alignment horizontal="center" vertical="center"/>
    </xf>
    <xf numFmtId="0" fontId="9" fillId="5" borderId="9" xfId="0" applyFont="1" applyFill="1" applyBorder="1" applyAlignment="1">
      <alignment horizontal="left" vertical="center"/>
    </xf>
    <xf numFmtId="0" fontId="12" fillId="9" borderId="0" xfId="0" applyFont="1" applyFill="1" applyAlignment="1">
      <alignment vertical="center"/>
    </xf>
    <xf numFmtId="166" fontId="10" fillId="9" borderId="5" xfId="0" applyNumberFormat="1" applyFont="1" applyFill="1" applyBorder="1" applyAlignment="1">
      <alignment horizontal="center" vertical="center"/>
    </xf>
    <xf numFmtId="166" fontId="10" fillId="9" borderId="7" xfId="0" applyNumberFormat="1" applyFont="1" applyFill="1" applyBorder="1" applyAlignment="1">
      <alignment horizontal="center" vertical="center"/>
    </xf>
    <xf numFmtId="8" fontId="10" fillId="9" borderId="7" xfId="0" applyNumberFormat="1" applyFont="1" applyFill="1" applyBorder="1" applyAlignment="1">
      <alignment horizontal="center" vertical="center"/>
    </xf>
    <xf numFmtId="8" fontId="10" fillId="9" borderId="11" xfId="0" applyNumberFormat="1" applyFont="1" applyFill="1" applyBorder="1" applyAlignment="1">
      <alignment horizontal="center" vertical="center"/>
    </xf>
    <xf numFmtId="0" fontId="28" fillId="11" borderId="15" xfId="0" applyFont="1" applyFill="1" applyBorder="1" applyAlignment="1">
      <alignment horizontal="center" wrapText="1"/>
    </xf>
    <xf numFmtId="1" fontId="0" fillId="9" borderId="0" xfId="2" applyNumberFormat="1" applyFont="1" applyFill="1" applyBorder="1"/>
    <xf numFmtId="165" fontId="0" fillId="9" borderId="0" xfId="2" applyNumberFormat="1" applyFont="1" applyFill="1" applyBorder="1"/>
    <xf numFmtId="170" fontId="0" fillId="9" borderId="0" xfId="0" applyNumberFormat="1" applyFill="1"/>
    <xf numFmtId="44" fontId="0" fillId="9" borderId="0" xfId="0" applyNumberFormat="1" applyFill="1"/>
    <xf numFmtId="0" fontId="32" fillId="9" borderId="0" xfId="0" applyFont="1" applyFill="1"/>
    <xf numFmtId="0" fontId="11" fillId="9" borderId="0" xfId="0" applyFont="1" applyFill="1"/>
    <xf numFmtId="0" fontId="12" fillId="9" borderId="0" xfId="0" applyFont="1" applyFill="1"/>
    <xf numFmtId="0" fontId="34" fillId="9" borderId="0" xfId="0" applyFont="1" applyFill="1"/>
    <xf numFmtId="0" fontId="33" fillId="6" borderId="9" xfId="0" applyFont="1" applyFill="1" applyBorder="1" applyAlignment="1">
      <alignment horizontal="center"/>
    </xf>
    <xf numFmtId="0" fontId="4" fillId="14" borderId="9" xfId="0" applyFont="1" applyFill="1" applyBorder="1" applyAlignment="1">
      <alignment horizontal="center"/>
    </xf>
    <xf numFmtId="0" fontId="31" fillId="9" borderId="0" xfId="0" applyFont="1" applyFill="1"/>
    <xf numFmtId="0" fontId="11" fillId="9" borderId="0" xfId="0" applyFont="1" applyFill="1" applyAlignment="1">
      <alignment vertical="center"/>
    </xf>
    <xf numFmtId="0" fontId="12" fillId="9" borderId="20" xfId="0" applyFont="1" applyFill="1" applyBorder="1" applyAlignment="1">
      <alignment vertical="center"/>
    </xf>
    <xf numFmtId="0" fontId="12" fillId="9" borderId="21" xfId="0" applyFont="1" applyFill="1" applyBorder="1" applyAlignment="1">
      <alignment vertical="center"/>
    </xf>
    <xf numFmtId="0" fontId="0" fillId="9" borderId="21" xfId="0" applyFill="1" applyBorder="1"/>
    <xf numFmtId="0" fontId="0" fillId="9" borderId="22" xfId="0" applyFill="1" applyBorder="1"/>
    <xf numFmtId="0" fontId="29" fillId="5" borderId="23" xfId="0" applyFont="1" applyFill="1" applyBorder="1" applyAlignment="1">
      <alignment horizontal="centerContinuous" vertical="center" wrapText="1"/>
    </xf>
    <xf numFmtId="0" fontId="29" fillId="5" borderId="24" xfId="0" applyFont="1" applyFill="1" applyBorder="1" applyAlignment="1">
      <alignment horizontal="centerContinuous" vertical="center" wrapText="1"/>
    </xf>
    <xf numFmtId="0" fontId="0" fillId="9" borderId="23" xfId="0" applyFill="1" applyBorder="1"/>
    <xf numFmtId="0" fontId="0" fillId="9" borderId="24" xfId="0" applyFill="1" applyBorder="1"/>
    <xf numFmtId="0" fontId="12" fillId="9" borderId="24" xfId="0" applyFont="1" applyFill="1" applyBorder="1"/>
    <xf numFmtId="0" fontId="0" fillId="9" borderId="25" xfId="0" applyFill="1" applyBorder="1"/>
    <xf numFmtId="0" fontId="0" fillId="9" borderId="14" xfId="0" applyFill="1" applyBorder="1"/>
    <xf numFmtId="0" fontId="0" fillId="9" borderId="26" xfId="0" applyFill="1" applyBorder="1"/>
    <xf numFmtId="0" fontId="4" fillId="3" borderId="0" xfId="0" applyFont="1" applyFill="1"/>
    <xf numFmtId="1" fontId="4" fillId="7" borderId="0" xfId="0" applyNumberFormat="1" applyFont="1" applyFill="1"/>
    <xf numFmtId="9" fontId="4" fillId="7" borderId="0" xfId="2" applyFont="1" applyFill="1" applyBorder="1"/>
    <xf numFmtId="0" fontId="4" fillId="7" borderId="0" xfId="0" applyFont="1" applyFill="1"/>
    <xf numFmtId="170" fontId="0" fillId="13" borderId="0" xfId="0" applyNumberFormat="1" applyFill="1"/>
    <xf numFmtId="0" fontId="0" fillId="9" borderId="0" xfId="0" applyFill="1" applyAlignment="1">
      <alignment horizontal="right"/>
    </xf>
    <xf numFmtId="0" fontId="0" fillId="9" borderId="0" xfId="0" applyFill="1" applyAlignment="1">
      <alignment horizontal="left" indent="1"/>
    </xf>
    <xf numFmtId="0" fontId="0" fillId="9" borderId="0" xfId="0" applyFill="1" applyAlignment="1">
      <alignment horizontal="left" wrapText="1" indent="1"/>
    </xf>
    <xf numFmtId="0" fontId="35" fillId="9" borderId="0" xfId="0" applyFont="1" applyFill="1"/>
    <xf numFmtId="0" fontId="33" fillId="3" borderId="9" xfId="0" applyFont="1" applyFill="1" applyBorder="1" applyAlignment="1">
      <alignment horizontal="center"/>
    </xf>
    <xf numFmtId="0" fontId="0" fillId="14" borderId="9" xfId="0" applyFill="1" applyBorder="1" applyAlignment="1">
      <alignment horizontal="center"/>
    </xf>
    <xf numFmtId="0" fontId="2" fillId="2" borderId="0" xfId="6" applyBorder="1">
      <alignment horizontal="center" vertical="center" wrapText="1"/>
    </xf>
    <xf numFmtId="0" fontId="0" fillId="9" borderId="15" xfId="0" applyFill="1" applyBorder="1"/>
    <xf numFmtId="0" fontId="0" fillId="9" borderId="3" xfId="0" applyFill="1" applyBorder="1"/>
    <xf numFmtId="0" fontId="35" fillId="2" borderId="0" xfId="6" applyFont="1" applyBorder="1">
      <alignment horizontal="center" vertical="center" wrapText="1"/>
    </xf>
    <xf numFmtId="0" fontId="5" fillId="9" borderId="7" xfId="0" applyFont="1" applyFill="1" applyBorder="1" applyAlignment="1">
      <alignment vertical="center" wrapText="1"/>
    </xf>
    <xf numFmtId="0" fontId="5" fillId="9" borderId="7" xfId="0" applyFont="1" applyFill="1" applyBorder="1" applyAlignment="1">
      <alignment vertical="center"/>
    </xf>
    <xf numFmtId="0" fontId="30" fillId="9" borderId="23" xfId="0" applyFont="1" applyFill="1" applyBorder="1"/>
    <xf numFmtId="0" fontId="5" fillId="9" borderId="0" xfId="0" applyFont="1" applyFill="1" applyAlignment="1">
      <alignment horizontal="left" vertical="center"/>
    </xf>
    <xf numFmtId="1" fontId="2" fillId="2" borderId="0" xfId="6" applyNumberFormat="1" applyBorder="1">
      <alignment horizontal="center" vertical="center" wrapText="1"/>
    </xf>
    <xf numFmtId="9" fontId="4" fillId="3" borderId="0" xfId="2" applyFont="1" applyFill="1" applyBorder="1"/>
    <xf numFmtId="0" fontId="5" fillId="9" borderId="9" xfId="0" applyFont="1" applyFill="1" applyBorder="1" applyAlignment="1">
      <alignment vertical="center" wrapText="1"/>
    </xf>
    <xf numFmtId="0" fontId="0" fillId="14" borderId="2" xfId="0" applyFill="1" applyBorder="1" applyAlignment="1">
      <alignment horizontal="center"/>
    </xf>
    <xf numFmtId="0" fontId="33" fillId="6" borderId="2" xfId="0" applyFont="1" applyFill="1" applyBorder="1" applyAlignment="1">
      <alignment horizontal="center"/>
    </xf>
    <xf numFmtId="0" fontId="33" fillId="3" borderId="2" xfId="0" applyFont="1" applyFill="1" applyBorder="1" applyAlignment="1">
      <alignment horizontal="center"/>
    </xf>
    <xf numFmtId="40" fontId="0" fillId="9" borderId="9" xfId="0" applyNumberFormat="1" applyFill="1" applyBorder="1"/>
    <xf numFmtId="40" fontId="0" fillId="13" borderId="9" xfId="0" applyNumberFormat="1" applyFill="1" applyBorder="1"/>
    <xf numFmtId="0" fontId="0" fillId="9" borderId="23" xfId="0" applyFill="1" applyBorder="1" applyAlignment="1">
      <alignment horizontal="right"/>
    </xf>
    <xf numFmtId="0" fontId="11" fillId="9" borderId="23" xfId="0" applyFont="1" applyFill="1" applyBorder="1" applyAlignment="1">
      <alignment horizontal="right"/>
    </xf>
    <xf numFmtId="0" fontId="30" fillId="9" borderId="23" xfId="0" applyFont="1" applyFill="1" applyBorder="1" applyAlignment="1">
      <alignment horizontal="right"/>
    </xf>
    <xf numFmtId="0" fontId="36" fillId="9" borderId="23" xfId="0" applyFont="1" applyFill="1" applyBorder="1" applyAlignment="1">
      <alignment horizontal="right"/>
    </xf>
    <xf numFmtId="0" fontId="4" fillId="6" borderId="9" xfId="0" applyFont="1" applyFill="1" applyBorder="1" applyAlignment="1">
      <alignment horizontal="center"/>
    </xf>
    <xf numFmtId="0" fontId="4" fillId="3" borderId="9" xfId="0" applyFont="1" applyFill="1" applyBorder="1" applyAlignment="1">
      <alignment horizontal="center"/>
    </xf>
    <xf numFmtId="0" fontId="4" fillId="7" borderId="9" xfId="0" applyFont="1" applyFill="1" applyBorder="1" applyAlignment="1">
      <alignment horizontal="center"/>
    </xf>
    <xf numFmtId="0" fontId="4" fillId="8" borderId="9" xfId="0" applyFont="1" applyFill="1" applyBorder="1" applyAlignment="1">
      <alignment horizontal="center"/>
    </xf>
    <xf numFmtId="0" fontId="5" fillId="9" borderId="0" xfId="0" applyFont="1" applyFill="1" applyAlignment="1">
      <alignment vertical="center" wrapText="1"/>
    </xf>
    <xf numFmtId="171" fontId="0" fillId="9" borderId="0" xfId="0" applyNumberFormat="1" applyFill="1"/>
    <xf numFmtId="170" fontId="0" fillId="9" borderId="24" xfId="0" applyNumberFormat="1" applyFill="1" applyBorder="1" applyAlignment="1">
      <alignment horizontal="center"/>
    </xf>
    <xf numFmtId="171" fontId="4" fillId="3" borderId="0" xfId="0" applyNumberFormat="1" applyFont="1" applyFill="1"/>
    <xf numFmtId="0" fontId="0" fillId="3" borderId="9" xfId="0" applyFill="1" applyBorder="1" applyAlignment="1">
      <alignment horizontal="center"/>
    </xf>
    <xf numFmtId="14" fontId="0" fillId="9" borderId="0" xfId="0" applyNumberFormat="1" applyFill="1"/>
    <xf numFmtId="0" fontId="0" fillId="9" borderId="0" xfId="0" applyFill="1" applyAlignment="1">
      <alignment horizontal="left"/>
    </xf>
    <xf numFmtId="170" fontId="0" fillId="9" borderId="21" xfId="0" applyNumberFormat="1" applyFill="1" applyBorder="1" applyAlignment="1">
      <alignment horizontal="center"/>
    </xf>
    <xf numFmtId="170" fontId="0" fillId="9" borderId="22" xfId="0" applyNumberFormat="1" applyFill="1" applyBorder="1" applyAlignment="1">
      <alignment horizontal="center"/>
    </xf>
    <xf numFmtId="4" fontId="0" fillId="9" borderId="24" xfId="0" applyNumberFormat="1" applyFill="1" applyBorder="1" applyAlignment="1">
      <alignment horizontal="center"/>
    </xf>
    <xf numFmtId="4" fontId="0" fillId="9" borderId="14" xfId="0" applyNumberFormat="1" applyFill="1" applyBorder="1" applyAlignment="1">
      <alignment horizontal="center"/>
    </xf>
    <xf numFmtId="4" fontId="0" fillId="9" borderId="26" xfId="0" applyNumberFormat="1" applyFill="1" applyBorder="1" applyAlignment="1">
      <alignment horizontal="center"/>
    </xf>
    <xf numFmtId="0" fontId="0" fillId="9" borderId="8" xfId="0" applyFill="1" applyBorder="1"/>
    <xf numFmtId="8" fontId="0" fillId="9" borderId="0" xfId="0" applyNumberFormat="1" applyFill="1"/>
    <xf numFmtId="0" fontId="11" fillId="0" borderId="9" xfId="0" applyFont="1" applyBorder="1"/>
    <xf numFmtId="14" fontId="0" fillId="0" borderId="9" xfId="0" applyNumberFormat="1" applyBorder="1"/>
    <xf numFmtId="0" fontId="33" fillId="14" borderId="9" xfId="0" applyFont="1" applyFill="1" applyBorder="1" applyAlignment="1">
      <alignment horizontal="center"/>
    </xf>
    <xf numFmtId="0" fontId="33" fillId="14" borderId="2" xfId="0" applyFont="1" applyFill="1" applyBorder="1" applyAlignment="1">
      <alignment horizontal="center"/>
    </xf>
    <xf numFmtId="0" fontId="29" fillId="5" borderId="0" xfId="0" applyFont="1" applyFill="1" applyAlignment="1">
      <alignment horizontal="centerContinuous" vertical="center" wrapText="1"/>
    </xf>
    <xf numFmtId="0" fontId="12" fillId="9" borderId="0" xfId="0" applyFont="1" applyFill="1" applyAlignment="1">
      <alignment horizontal="center" vertical="center"/>
    </xf>
    <xf numFmtId="0" fontId="30" fillId="9" borderId="0" xfId="0" applyFont="1" applyFill="1"/>
    <xf numFmtId="0" fontId="30" fillId="9" borderId="0" xfId="0" applyFont="1" applyFill="1" applyAlignment="1">
      <alignment horizontal="center"/>
    </xf>
    <xf numFmtId="0" fontId="0" fillId="9" borderId="35" xfId="0" applyFill="1" applyBorder="1"/>
    <xf numFmtId="0" fontId="0" fillId="9" borderId="0" xfId="0" applyFill="1" applyAlignment="1">
      <alignment horizontal="center"/>
    </xf>
    <xf numFmtId="170" fontId="0" fillId="9" borderId="20" xfId="0" applyNumberFormat="1" applyFill="1" applyBorder="1" applyAlignment="1">
      <alignment horizontal="center"/>
    </xf>
    <xf numFmtId="170" fontId="0" fillId="9" borderId="23" xfId="0" applyNumberFormat="1" applyFill="1" applyBorder="1" applyAlignment="1">
      <alignment horizontal="center"/>
    </xf>
    <xf numFmtId="170" fontId="0" fillId="9" borderId="0" xfId="0" applyNumberFormat="1" applyFill="1" applyAlignment="1">
      <alignment horizontal="center"/>
    </xf>
    <xf numFmtId="4" fontId="0" fillId="9" borderId="23" xfId="0" applyNumberFormat="1" applyFill="1" applyBorder="1" applyAlignment="1">
      <alignment horizontal="center"/>
    </xf>
    <xf numFmtId="4" fontId="0" fillId="9" borderId="0" xfId="0" applyNumberFormat="1" applyFill="1" applyAlignment="1">
      <alignment horizontal="center"/>
    </xf>
    <xf numFmtId="4" fontId="0" fillId="9" borderId="25" xfId="0" applyNumberFormat="1" applyFill="1" applyBorder="1" applyAlignment="1">
      <alignment horizontal="center"/>
    </xf>
    <xf numFmtId="0" fontId="61" fillId="2" borderId="34" xfId="17" applyFont="1">
      <alignment vertical="center"/>
    </xf>
    <xf numFmtId="0" fontId="0" fillId="9" borderId="9" xfId="0" applyFill="1" applyBorder="1" applyAlignment="1">
      <alignment horizontal="center"/>
    </xf>
    <xf numFmtId="0" fontId="61" fillId="2" borderId="34" xfId="17" applyFont="1" applyAlignment="1">
      <alignment horizontal="center" vertical="center" wrapText="1"/>
    </xf>
    <xf numFmtId="165" fontId="0" fillId="9" borderId="9" xfId="2" applyNumberFormat="1" applyFont="1" applyFill="1" applyBorder="1" applyAlignment="1">
      <alignment horizontal="center"/>
    </xf>
    <xf numFmtId="2" fontId="0" fillId="9" borderId="0" xfId="0" applyNumberFormat="1" applyFill="1"/>
    <xf numFmtId="4" fontId="0" fillId="13" borderId="4" xfId="0" applyNumberFormat="1" applyFill="1" applyBorder="1" applyAlignment="1">
      <alignment horizontal="center" vertical="center" wrapText="1"/>
    </xf>
    <xf numFmtId="4" fontId="0" fillId="13" borderId="35" xfId="0" applyNumberFormat="1" applyFill="1" applyBorder="1" applyAlignment="1">
      <alignment horizontal="center" vertical="center" wrapText="1"/>
    </xf>
    <xf numFmtId="0" fontId="0" fillId="9" borderId="14" xfId="0" applyFill="1" applyBorder="1" applyAlignment="1">
      <alignment horizontal="left"/>
    </xf>
    <xf numFmtId="171" fontId="33" fillId="3" borderId="9" xfId="1" applyNumberFormat="1" applyFont="1" applyFill="1" applyBorder="1" applyAlignment="1">
      <alignment horizontal="center"/>
    </xf>
    <xf numFmtId="0" fontId="33" fillId="14" borderId="15" xfId="0" applyFont="1" applyFill="1" applyBorder="1" applyAlignment="1">
      <alignment horizontal="center" vertical="top" wrapText="1"/>
    </xf>
    <xf numFmtId="0" fontId="33" fillId="14" borderId="3" xfId="0" applyFont="1" applyFill="1" applyBorder="1" applyAlignment="1">
      <alignment horizontal="center" vertical="top" wrapText="1"/>
    </xf>
    <xf numFmtId="0" fontId="33" fillId="14" borderId="6" xfId="0" applyFont="1" applyFill="1" applyBorder="1" applyAlignment="1">
      <alignment horizontal="center" vertical="top" wrapText="1"/>
    </xf>
    <xf numFmtId="0" fontId="33" fillId="3" borderId="15" xfId="0" applyFont="1" applyFill="1" applyBorder="1" applyAlignment="1">
      <alignment horizontal="center" vertical="top" wrapText="1"/>
    </xf>
    <xf numFmtId="0" fontId="33" fillId="3" borderId="3" xfId="0" applyFont="1" applyFill="1" applyBorder="1" applyAlignment="1">
      <alignment horizontal="center" vertical="top" wrapText="1"/>
    </xf>
    <xf numFmtId="0" fontId="33" fillId="3" borderId="6" xfId="0" applyFont="1" applyFill="1" applyBorder="1" applyAlignment="1">
      <alignment horizontal="center" vertical="top" wrapText="1"/>
    </xf>
    <xf numFmtId="10" fontId="33" fillId="6" borderId="1" xfId="2" applyNumberFormat="1" applyFont="1" applyFill="1" applyBorder="1" applyAlignment="1">
      <alignment horizontal="center"/>
    </xf>
    <xf numFmtId="10" fontId="33" fillId="6" borderId="27" xfId="2" applyNumberFormat="1" applyFont="1" applyFill="1" applyBorder="1" applyAlignment="1">
      <alignment horizontal="center"/>
    </xf>
    <xf numFmtId="0" fontId="33" fillId="14" borderId="1" xfId="0" applyFont="1" applyFill="1" applyBorder="1" applyAlignment="1">
      <alignment horizontal="center"/>
    </xf>
    <xf numFmtId="0" fontId="33" fillId="14" borderId="27" xfId="0" applyFont="1" applyFill="1" applyBorder="1" applyAlignment="1">
      <alignment horizontal="center"/>
    </xf>
    <xf numFmtId="0" fontId="33" fillId="14" borderId="2" xfId="0" applyFont="1" applyFill="1" applyBorder="1" applyAlignment="1">
      <alignment horizontal="center"/>
    </xf>
    <xf numFmtId="0" fontId="0" fillId="9" borderId="0" xfId="0" applyFill="1" applyAlignment="1">
      <alignment horizontal="left"/>
    </xf>
    <xf numFmtId="0" fontId="30" fillId="9" borderId="0" xfId="0" applyFont="1" applyFill="1" applyAlignment="1">
      <alignment horizontal="left"/>
    </xf>
    <xf numFmtId="0" fontId="0" fillId="9" borderId="21" xfId="0" applyFill="1" applyBorder="1" applyAlignment="1">
      <alignment horizontal="left"/>
    </xf>
    <xf numFmtId="0" fontId="11" fillId="9" borderId="36" xfId="0" applyFont="1" applyFill="1" applyBorder="1" applyAlignment="1">
      <alignment horizontal="center" vertical="center" textRotation="90"/>
    </xf>
    <xf numFmtId="0" fontId="11" fillId="9" borderId="37" xfId="0" applyFont="1" applyFill="1" applyBorder="1" applyAlignment="1">
      <alignment horizontal="center" vertical="center" textRotation="90"/>
    </xf>
    <xf numFmtId="0" fontId="11" fillId="9" borderId="38" xfId="0" applyFont="1" applyFill="1" applyBorder="1" applyAlignment="1">
      <alignment horizontal="center" vertical="center" textRotation="90"/>
    </xf>
    <xf numFmtId="44" fontId="2" fillId="2" borderId="9" xfId="6" applyNumberFormat="1" applyBorder="1">
      <alignment horizontal="center" vertical="center" wrapText="1"/>
    </xf>
    <xf numFmtId="0" fontId="2" fillId="2" borderId="9" xfId="6" applyBorder="1" applyAlignment="1">
      <alignment horizontal="center" vertical="center"/>
    </xf>
    <xf numFmtId="4" fontId="0" fillId="13" borderId="9" xfId="0" applyNumberFormat="1" applyFill="1" applyBorder="1" applyAlignment="1">
      <alignment horizontal="center"/>
    </xf>
    <xf numFmtId="0" fontId="0" fillId="9" borderId="1" xfId="0" applyFill="1" applyBorder="1" applyAlignment="1">
      <alignment horizontal="left"/>
    </xf>
    <xf numFmtId="0" fontId="0" fillId="9" borderId="2" xfId="0" applyFill="1" applyBorder="1" applyAlignment="1">
      <alignment horizontal="left"/>
    </xf>
    <xf numFmtId="0" fontId="39" fillId="9" borderId="8" xfId="15" applyFont="1" applyFill="1" applyBorder="1" applyAlignment="1">
      <alignment horizontal="left" wrapText="1"/>
    </xf>
    <xf numFmtId="0" fontId="39" fillId="9" borderId="0" xfId="15" applyFont="1" applyFill="1" applyBorder="1" applyAlignment="1">
      <alignment horizontal="left" wrapText="1"/>
    </xf>
    <xf numFmtId="0" fontId="4" fillId="15" borderId="15" xfId="0" applyFont="1" applyFill="1" applyBorder="1" applyAlignment="1">
      <alignment horizontal="center" wrapText="1"/>
    </xf>
    <xf numFmtId="0" fontId="4" fillId="15" borderId="3" xfId="0" applyFont="1" applyFill="1" applyBorder="1" applyAlignment="1">
      <alignment horizontal="center" wrapText="1"/>
    </xf>
    <xf numFmtId="0" fontId="4" fillId="15" borderId="6" xfId="0" applyFont="1" applyFill="1" applyBorder="1" applyAlignment="1">
      <alignment horizontal="center" wrapText="1"/>
    </xf>
    <xf numFmtId="10" fontId="33" fillId="3" borderId="1" xfId="2" applyNumberFormat="1" applyFont="1" applyFill="1" applyBorder="1" applyAlignment="1">
      <alignment horizontal="center"/>
    </xf>
    <xf numFmtId="10" fontId="33" fillId="3" borderId="27" xfId="2" applyNumberFormat="1" applyFont="1" applyFill="1" applyBorder="1" applyAlignment="1">
      <alignment horizontal="center"/>
    </xf>
    <xf numFmtId="10" fontId="33" fillId="3" borderId="2" xfId="2" applyNumberFormat="1" applyFont="1" applyFill="1" applyBorder="1" applyAlignment="1">
      <alignment horizontal="center"/>
    </xf>
    <xf numFmtId="0" fontId="0" fillId="14" borderId="1" xfId="0" applyFill="1" applyBorder="1" applyAlignment="1">
      <alignment horizontal="center"/>
    </xf>
    <xf numFmtId="0" fontId="0" fillId="14" borderId="27" xfId="0" applyFill="1" applyBorder="1" applyAlignment="1">
      <alignment horizontal="center"/>
    </xf>
    <xf numFmtId="0" fontId="0" fillId="14" borderId="2" xfId="0" applyFill="1" applyBorder="1" applyAlignment="1">
      <alignment horizontal="center"/>
    </xf>
    <xf numFmtId="0" fontId="0" fillId="0" borderId="9" xfId="0" applyBorder="1" applyAlignment="1">
      <alignment horizontal="center" vertical="center"/>
    </xf>
    <xf numFmtId="0" fontId="3" fillId="0" borderId="9" xfId="13" applyBorder="1" applyAlignment="1">
      <alignment horizontal="center" vertical="center"/>
    </xf>
  </cellXfs>
  <cellStyles count="46">
    <cellStyle name="Bad 2" xfId="31" xr:uid="{D0B05FA5-3C28-4728-9054-3982736AEF3C}"/>
    <cellStyle name="Calculation 2" xfId="35" xr:uid="{381A12AA-D971-49A7-B613-A3B02EFE4CF9}"/>
    <cellStyle name="Calculation with Different Formula" xfId="44" xr:uid="{40BCE340-A679-4FCE-888D-D5D1967C57BF}"/>
    <cellStyle name="Check Cell 2" xfId="37" xr:uid="{A29AF5A1-F83E-43CA-85A7-21DF4954C564}"/>
    <cellStyle name="Comma" xfId="1" builtinId="3"/>
    <cellStyle name="Comma 18" xfId="14" xr:uid="{A81BAAF4-169A-9B43-A56D-ACE2BA05037E}"/>
    <cellStyle name="Comma 2" xfId="10" xr:uid="{C5A56A6F-4EDB-43FF-9507-FF2F2E101CF7}"/>
    <cellStyle name="Comma 3" xfId="22" xr:uid="{BF70D331-5432-4CC6-A334-A030E8196D31}"/>
    <cellStyle name="Currency 2" xfId="24" xr:uid="{C29C96CD-60C0-4497-B103-C9133156036B}"/>
    <cellStyle name="Datetime Format" xfId="42" xr:uid="{8AEF6069-AB7A-472B-BDC3-A0F9B4D24686}"/>
    <cellStyle name="Dollars Format" xfId="43" xr:uid="{889C3C68-8E5F-47CA-82CE-6C6ED5EBC1E8}"/>
    <cellStyle name="Dropdown Input" xfId="45" xr:uid="{1678C0FE-9BA1-421E-BBB9-2BED42610F08}"/>
    <cellStyle name="Explanatory Text" xfId="15" builtinId="53"/>
    <cellStyle name="Explanatory Text 2" xfId="40" xr:uid="{40970DC8-D56B-4603-A1A6-F8AB5A0F165B}"/>
    <cellStyle name="Good 2" xfId="30" xr:uid="{768ECDED-2D23-415A-9F25-CB6EF9C443E4}"/>
    <cellStyle name="Heading" xfId="6" xr:uid="{8FE4F839-F6E0-4481-97F9-AE4479C4B020}"/>
    <cellStyle name="Heading 1 2" xfId="26" xr:uid="{162BAC3E-A3F7-413F-92BB-BEE5450D04E6}"/>
    <cellStyle name="Heading 2 2" xfId="27" xr:uid="{980785EF-4618-4F0D-9BF8-EC906EA99782}"/>
    <cellStyle name="Heading 3 2" xfId="28" xr:uid="{88F80014-6B41-4DE4-B71C-C3D50B8875E1}"/>
    <cellStyle name="Heading 4 2" xfId="29" xr:uid="{D045B3D7-1D0D-4A0E-8140-AAA97ADF5534}"/>
    <cellStyle name="Hyperlink" xfId="23" builtinId="8" customBuiltin="1"/>
    <cellStyle name="Input 2" xfId="33" xr:uid="{C847C6A9-D212-454A-A300-ACE554D8AAC6}"/>
    <cellStyle name="Linked Cell 2" xfId="36" xr:uid="{A7737CA1-8691-4606-BD1D-F4CC1BDA97EB}"/>
    <cellStyle name="Neutral 2" xfId="32" xr:uid="{F4204890-F7D7-4763-AB7A-C1AB974E7B96}"/>
    <cellStyle name="Normal" xfId="0" builtinId="0"/>
    <cellStyle name="Normal 2" xfId="13" xr:uid="{FB1CEE69-7BAF-7D47-9F2D-8E78E3AFA7AD}"/>
    <cellStyle name="Normal 3" xfId="16" xr:uid="{634065D0-8B8A-46F1-A563-0D0B700E57A7}"/>
    <cellStyle name="Normal 30 2" xfId="3" xr:uid="{1D73EC0B-FCDA-4753-89A0-7281C6198EBE}"/>
    <cellStyle name="Normal 4" xfId="11" xr:uid="{367C1F84-65B4-4FA6-A5CF-927771A168B1}"/>
    <cellStyle name="Normal 5 2 2" xfId="4" xr:uid="{310F91FA-E449-43C2-9046-45680AC2F8BD}"/>
    <cellStyle name="Note 2" xfId="39" xr:uid="{142A7BD7-E7B3-4B0F-B31F-B832ACB5D677}"/>
    <cellStyle name="Output 2" xfId="34" xr:uid="{FBAF6970-5689-444C-8770-AA57F41BD7DE}"/>
    <cellStyle name="Percent" xfId="2" builtinId="5"/>
    <cellStyle name="Percent 10" xfId="5" xr:uid="{D67E511B-D5A7-4ED6-A7C1-AC682255FCE0}"/>
    <cellStyle name="Percent 2" xfId="8" xr:uid="{BB1DFE22-A831-476C-9194-4342B105A526}"/>
    <cellStyle name="Percent 2 2" xfId="12" xr:uid="{790E68DD-33A8-477D-9A16-AB26A2A029DE}"/>
    <cellStyle name="Percent 3" xfId="21" xr:uid="{B70F04C6-8A8F-4750-8903-908BCB64615B}"/>
    <cellStyle name="Results" xfId="7" xr:uid="{6CC81B00-7DDD-49A1-A4EA-6C64CE2A55EE}"/>
    <cellStyle name="Subtitle" xfId="9" xr:uid="{7D6CFBA2-1B5C-4177-966B-CD9D0517D195}"/>
    <cellStyle name="Table Header" xfId="17" xr:uid="{D0B533DF-DF6A-42DA-B556-09366B825550}"/>
    <cellStyle name="Table Index" xfId="18" xr:uid="{3AB71BB0-8293-4BEA-A833-2130A62DC0FE}"/>
    <cellStyle name="Table Sub-Header" xfId="20" xr:uid="{BCD6836E-5C89-4540-BE6C-C3FFCD9A58AC}"/>
    <cellStyle name="Table Value" xfId="19" xr:uid="{06E90EEA-8EE5-4546-BBF2-9ADCAA7CF9D6}"/>
    <cellStyle name="Title 2" xfId="25" xr:uid="{3CFECD45-FCC5-416E-9949-08D83C32C69C}"/>
    <cellStyle name="Total 2" xfId="41" xr:uid="{36E90834-868B-4236-95D3-70F92B7D6B12}"/>
    <cellStyle name="Warning Text 2" xfId="38" xr:uid="{C2220763-3556-4023-8521-1D54B122A16B}"/>
  </cellStyles>
  <dxfs count="20">
    <dxf>
      <font>
        <b val="0"/>
        <i/>
        <color theme="0"/>
      </font>
      <fill>
        <patternFill>
          <bgColor theme="0"/>
        </patternFill>
      </fill>
      <border>
        <left style="thin">
          <color auto="1"/>
        </left>
        <right/>
        <top/>
        <bottom/>
      </border>
    </dxf>
    <dxf>
      <font>
        <b val="0"/>
        <i/>
        <color theme="0"/>
      </font>
      <fill>
        <patternFill>
          <bgColor theme="0"/>
        </patternFill>
      </fill>
      <border>
        <left/>
        <right/>
        <top/>
        <bottom/>
      </border>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border>
    </dxf>
    <dxf>
      <font>
        <b val="0"/>
        <i/>
        <color theme="0"/>
      </font>
      <fill>
        <patternFill>
          <bgColor theme="0"/>
        </patternFill>
      </fill>
      <border>
        <left/>
        <right/>
        <top style="thin">
          <color auto="1"/>
        </top>
        <bottom/>
      </border>
    </dxf>
    <dxf>
      <font>
        <b val="0"/>
        <i/>
        <color theme="0"/>
      </font>
      <fill>
        <patternFill>
          <bgColor theme="0"/>
        </patternFill>
      </fill>
      <border>
        <left/>
        <right/>
        <top style="thin">
          <color auto="1"/>
        </top>
        <bottom/>
      </border>
    </dxf>
    <dxf>
      <font>
        <b val="0"/>
        <i/>
        <color theme="0"/>
      </font>
      <fill>
        <patternFill>
          <bgColor theme="0"/>
        </patternFill>
      </fill>
      <border>
        <left/>
        <right/>
        <top style="thin">
          <color auto="1"/>
        </top>
        <bottom/>
      </border>
    </dxf>
    <dxf>
      <fill>
        <patternFill>
          <bgColor theme="6" tint="0.79998168889431442"/>
        </patternFill>
      </fill>
    </dxf>
    <dxf>
      <fill>
        <patternFill>
          <bgColor theme="0"/>
        </patternFill>
      </fill>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style="thin">
          <color auto="1"/>
        </bottom>
      </border>
    </dxf>
    <dxf>
      <font>
        <color theme="0"/>
      </font>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style="thin">
          <color auto="1"/>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24CABB7E-512D-42AF-8DD2-0A2C0571540F}">
      <tableStyleElement type="wholeTable" dxfId="19"/>
      <tableStyleElement type="headerRow" dxfId="18"/>
    </tableStyle>
  </tableStyles>
  <colors>
    <mruColors>
      <color rgb="FFFFFF99"/>
      <color rgb="FFCCFFCC"/>
      <color rgb="FF000000"/>
      <color rgb="FF00CC54"/>
      <color rgb="FFE0A000"/>
      <color rgb="FF99CCFF"/>
      <color rgb="FF0000FF"/>
      <color rgb="FF005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854075</xdr:colOff>
      <xdr:row>0</xdr:row>
      <xdr:rowOff>0</xdr:rowOff>
    </xdr:from>
    <xdr:ext cx="4038601" cy="1149668"/>
    <xdr:pic>
      <xdr:nvPicPr>
        <xdr:cNvPr id="2" name="Picture 1">
          <a:extLst>
            <a:ext uri="{FF2B5EF4-FFF2-40B4-BE49-F238E27FC236}">
              <a16:creationId xmlns:a16="http://schemas.microsoft.com/office/drawing/2014/main" id="{1F49A7F8-D2CE-4803-860A-CAEFEDAF8060}"/>
            </a:ext>
          </a:extLst>
        </xdr:cNvPr>
        <xdr:cNvPicPr>
          <a:picLocks noChangeAspect="1"/>
        </xdr:cNvPicPr>
      </xdr:nvPicPr>
      <xdr:blipFill>
        <a:blip xmlns:r="http://schemas.openxmlformats.org/officeDocument/2006/relationships" r:embed="rId1"/>
        <a:stretch>
          <a:fillRect/>
        </a:stretch>
      </xdr:blipFill>
      <xdr:spPr>
        <a:xfrm>
          <a:off x="8836025" y="0"/>
          <a:ext cx="4041776" cy="116554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hreesf-my.sharepoint.com/Sffs01/rv%20team/Link%20Busta%20(DO%20NOT%20DELETE%20THIS%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hreesf-my.sharepoint.com/sites/CPUC_IDER/Shared%20Documents/ACC%20Development/ACC%20Revisions%20for%20CPUC/2020%20ACC%20Electric%20Model%20v1b.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threesf-my.sharepoint.com/M:/USERS/EMosley/General%20Marketing/Bloomberg%20One%20Pa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nk Busta (DO NOT DELETE THIS "/>
      <sheetName val="Traffic_Rev"/>
      <sheetName val="RTL-IP-Dep-FA"/>
      <sheetName val="IA - Summary"/>
      <sheetName val="Assumptions"/>
      <sheetName val="#REF"/>
      <sheetName val="IPRD"/>
      <sheetName val="Inventec"/>
      <sheetName val="Broadcom"/>
      <sheetName val="VARS"/>
      <sheetName val="7 Qtr (1Q00-3Q01)"/>
      <sheetName val="Cap-FA"/>
      <sheetName val="Assumptions and Inputs"/>
      <sheetName val="Summary"/>
      <sheetName val="Risk Data"/>
      <sheetName val="Bal Sht 9-30-01"/>
      <sheetName val="Do not use"/>
      <sheetName val="LOH0197"/>
      <sheetName val="CAPITAL"/>
      <sheetName val="CAPMIP"/>
      <sheetName val="Input1"/>
      <sheetName val="Input2"/>
      <sheetName val="EPG"/>
      <sheetName val="Music"/>
      <sheetName val="Shopping"/>
      <sheetName val="Weather"/>
      <sheetName val="Banking"/>
      <sheetName val="Cost to Customer"/>
      <sheetName val="2001"/>
      <sheetName val="Q3"/>
      <sheetName val="Q4"/>
      <sheetName val="Projections 2"/>
      <sheetName val="Inputs"/>
      <sheetName val="key_inputs"/>
      <sheetName val="Proj. Financials"/>
      <sheetName val="KeyMultInputs"/>
      <sheetName val="Attrition"/>
      <sheetName val="Iowa Curves"/>
      <sheetName val="Historical"/>
      <sheetName val="Mult-3yr"/>
      <sheetName val="WP_Hist ABC"/>
      <sheetName val="Exb II.1_Summary Taira"/>
      <sheetName val="Detail Schedules"/>
      <sheetName val="Forecast"/>
      <sheetName val="Jobs"/>
      <sheetName val="dom-salaries"/>
      <sheetName val="Trends &amp; Rates"/>
      <sheetName val="Deferred Maint - old"/>
      <sheetName val="Deferred Add"/>
      <sheetName val="Existing"/>
      <sheetName val="INPUT"/>
      <sheetName val="DCF"/>
      <sheetName val="Historical IS"/>
      <sheetName val="LCO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Viewer"/>
      <sheetName val="Detailed Output"/>
      <sheetName val="IRP Inputs"/>
      <sheetName val="Emissions"/>
      <sheetName val="Energy"/>
      <sheetName val="Generation Capacity"/>
      <sheetName val="Distribution"/>
      <sheetName val="Transmission"/>
      <sheetName val="AS Procurement"/>
      <sheetName val="Losses"/>
      <sheetName val="Methane Leakage"/>
      <sheetName val="Refrigerant Leakage"/>
      <sheetName val="Refrigerant GWPs"/>
      <sheetName val="References"/>
      <sheetName val="Dropdowns"/>
      <sheetName val="Change Log"/>
      <sheetName val="DR Outputs"/>
    </sheetNames>
    <sheetDataSet>
      <sheetData sheetId="0" refreshError="1"/>
      <sheetData sheetId="1">
        <row r="7">
          <cell r="G7">
            <v>2020</v>
          </cell>
        </row>
        <row r="11">
          <cell r="G11">
            <v>7.6799999999999993E-2</v>
          </cell>
        </row>
      </sheetData>
      <sheetData sheetId="2" refreshError="1"/>
      <sheetData sheetId="3">
        <row r="4">
          <cell r="C4">
            <v>2.1999999999999999E-2</v>
          </cell>
        </row>
        <row r="8">
          <cell r="C8">
            <v>7.6799999999999993E-2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ow r="3">
          <cell r="J3" t="str">
            <v>CZ12</v>
          </cell>
          <cell r="K3">
            <v>13</v>
          </cell>
          <cell r="P3">
            <v>1</v>
          </cell>
        </row>
        <row r="5">
          <cell r="I5" t="str">
            <v>PG&amp;E</v>
          </cell>
        </row>
        <row r="8">
          <cell r="E8">
            <v>2019</v>
          </cell>
        </row>
        <row r="9">
          <cell r="E9">
            <v>2050</v>
          </cell>
        </row>
        <row r="14">
          <cell r="W14" t="str">
            <v>NP15</v>
          </cell>
        </row>
      </sheetData>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Pager"/>
      <sheetName val="1st Bond"/>
      <sheetName val="2nd Bond"/>
      <sheetName val="3rd Bond"/>
      <sheetName val="Quote"/>
    </sheetNames>
    <sheetDataSet>
      <sheetData sheetId="0" refreshError="1">
        <row r="2">
          <cell r="A2" t="str">
            <v>One New Orchard Road, Armonk, NY 10504, United States</v>
          </cell>
          <cell r="G2" t="str">
            <v>N.A.</v>
          </cell>
          <cell r="I2" t="str">
            <v>914-499-1900</v>
          </cell>
        </row>
        <row r="3">
          <cell r="Q3" t="str">
            <v>One New Orchard Road</v>
          </cell>
        </row>
        <row r="5">
          <cell r="A5" t="str">
            <v>Description</v>
          </cell>
        </row>
        <row r="6">
          <cell r="A6" t="str">
            <v>International Business Machines Corporation (IBM) provides customer solutions</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E3">
      <a:dk1>
        <a:sysClr val="windowText" lastClr="000000"/>
      </a:dk1>
      <a:lt1>
        <a:sysClr val="window" lastClr="FFFFFF"/>
      </a:lt1>
      <a:dk2>
        <a:srgbClr val="315361"/>
      </a:dk2>
      <a:lt2>
        <a:srgbClr val="EEECE1"/>
      </a:lt2>
      <a:accent1>
        <a:srgbClr val="034E6E"/>
      </a:accent1>
      <a:accent2>
        <a:srgbClr val="AF7E00"/>
      </a:accent2>
      <a:accent3>
        <a:srgbClr val="AF2200"/>
      </a:accent3>
      <a:accent4>
        <a:srgbClr val="007E33"/>
      </a:accent4>
      <a:accent5>
        <a:srgbClr val="AF5D00"/>
      </a:accent5>
      <a:accent6>
        <a:srgbClr val="0A197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3A43-1FCF-4E52-86E8-578EA7D9ED46}">
  <sheetPr>
    <tabColor theme="7"/>
  </sheetPr>
  <dimension ref="A3:AM132"/>
  <sheetViews>
    <sheetView tabSelected="1" workbookViewId="0">
      <selection activeCell="E123" sqref="E123"/>
    </sheetView>
  </sheetViews>
  <sheetFormatPr defaultColWidth="10.77734375" defaultRowHeight="14.4" x14ac:dyDescent="0.3"/>
  <cols>
    <col min="1" max="1" width="14" style="1" customWidth="1"/>
    <col min="2" max="2" width="6.77734375" style="1" customWidth="1"/>
    <col min="3" max="3" width="83.5546875" style="1" customWidth="1"/>
    <col min="4" max="5" width="17.77734375" style="1" customWidth="1"/>
    <col min="6" max="6" width="14.44140625" style="1" bestFit="1" customWidth="1"/>
    <col min="7" max="7" width="19" style="1" customWidth="1"/>
    <col min="8" max="8" width="17.77734375" style="1" customWidth="1"/>
    <col min="9" max="9" width="13.5546875" style="1" bestFit="1" customWidth="1"/>
    <col min="10" max="10" width="24.21875" style="1" customWidth="1"/>
    <col min="11" max="11" width="28.21875" style="1" customWidth="1"/>
    <col min="12" max="12" width="12.77734375" style="1" customWidth="1"/>
    <col min="13" max="13" width="19.77734375" style="1" customWidth="1"/>
    <col min="14" max="35" width="12.77734375" style="1" customWidth="1"/>
    <col min="36" max="45" width="11.5546875" style="1" bestFit="1" customWidth="1"/>
    <col min="46" max="16384" width="10.77734375" style="1"/>
  </cols>
  <sheetData>
    <row r="3" spans="2:2" ht="31.2" x14ac:dyDescent="0.6">
      <c r="B3" s="65" t="s">
        <v>400</v>
      </c>
    </row>
    <row r="4" spans="2:2" x14ac:dyDescent="0.3">
      <c r="B4" s="1" t="s">
        <v>402</v>
      </c>
    </row>
    <row r="6" spans="2:2" ht="18" x14ac:dyDescent="0.35">
      <c r="B6" s="67" t="s">
        <v>486</v>
      </c>
    </row>
    <row r="7" spans="2:2" x14ac:dyDescent="0.3">
      <c r="B7" s="1" t="s">
        <v>487</v>
      </c>
    </row>
    <row r="8" spans="2:2" x14ac:dyDescent="0.3">
      <c r="B8" s="1" t="s">
        <v>488</v>
      </c>
    </row>
    <row r="9" spans="2:2" x14ac:dyDescent="0.3">
      <c r="B9" s="1" t="s">
        <v>489</v>
      </c>
    </row>
    <row r="10" spans="2:2" x14ac:dyDescent="0.3">
      <c r="B10" s="1" t="s">
        <v>490</v>
      </c>
    </row>
    <row r="12" spans="2:2" x14ac:dyDescent="0.3">
      <c r="B12" s="1" t="s">
        <v>506</v>
      </c>
    </row>
    <row r="13" spans="2:2" x14ac:dyDescent="0.3">
      <c r="B13" s="1" t="s">
        <v>493</v>
      </c>
    </row>
    <row r="14" spans="2:2" x14ac:dyDescent="0.3">
      <c r="B14" s="1" t="s">
        <v>494</v>
      </c>
    </row>
    <row r="15" spans="2:2" x14ac:dyDescent="0.3">
      <c r="B15" s="1" t="s">
        <v>491</v>
      </c>
    </row>
    <row r="17" spans="2:13" x14ac:dyDescent="0.3">
      <c r="B17" s="66" t="s">
        <v>403</v>
      </c>
    </row>
    <row r="18" spans="2:13" x14ac:dyDescent="0.3">
      <c r="B18" s="1" t="s">
        <v>418</v>
      </c>
    </row>
    <row r="19" spans="2:13" x14ac:dyDescent="0.3">
      <c r="B19" s="1" t="s">
        <v>405</v>
      </c>
    </row>
    <row r="20" spans="2:13" ht="15" customHeight="1" x14ac:dyDescent="0.3"/>
    <row r="21" spans="2:13" ht="26.4" thickBot="1" x14ac:dyDescent="0.55000000000000004">
      <c r="C21" s="71" t="s">
        <v>399</v>
      </c>
      <c r="D21" s="71"/>
    </row>
    <row r="22" spans="2:13" ht="12" customHeight="1" x14ac:dyDescent="0.3">
      <c r="B22" s="55"/>
      <c r="C22" s="73"/>
      <c r="D22" s="74"/>
      <c r="E22" s="74"/>
      <c r="F22" s="74"/>
      <c r="G22" s="74"/>
      <c r="H22" s="74"/>
      <c r="I22" s="75"/>
      <c r="J22" s="75"/>
      <c r="K22" s="76"/>
      <c r="M22" s="54" t="s">
        <v>0</v>
      </c>
    </row>
    <row r="23" spans="2:13" ht="21" x14ac:dyDescent="0.3">
      <c r="B23" s="55"/>
      <c r="C23" s="77" t="s">
        <v>396</v>
      </c>
      <c r="D23" s="138"/>
      <c r="E23" s="138"/>
      <c r="F23" s="138"/>
      <c r="G23" s="138"/>
      <c r="H23" s="138"/>
      <c r="J23" s="138" t="s">
        <v>398</v>
      </c>
      <c r="K23" s="78"/>
      <c r="M23" s="116" t="s">
        <v>4</v>
      </c>
    </row>
    <row r="24" spans="2:13" ht="13.05" customHeight="1" x14ac:dyDescent="0.3">
      <c r="B24" s="72"/>
      <c r="C24" s="79"/>
      <c r="E24" s="139"/>
      <c r="F24" s="139"/>
      <c r="H24" s="139"/>
      <c r="K24" s="80"/>
      <c r="M24" s="70" t="s">
        <v>404</v>
      </c>
    </row>
    <row r="25" spans="2:13" ht="15" customHeight="1" x14ac:dyDescent="0.35">
      <c r="B25" s="72"/>
      <c r="C25" s="102"/>
      <c r="D25" s="140"/>
      <c r="E25" s="66"/>
      <c r="F25" s="66"/>
      <c r="G25" s="140"/>
      <c r="H25" s="66"/>
      <c r="J25" s="140" t="str">
        <f>_xlfn.CONCAT("NPV Avoided Costs in Measure Start Year (", 'ACC Inputs'!$G$7, "$)")</f>
        <v>NPV Avoided Costs in Measure Start Year (2022$)</v>
      </c>
      <c r="K25" s="81"/>
      <c r="M25" s="117" t="s">
        <v>1</v>
      </c>
    </row>
    <row r="26" spans="2:13" ht="15" customHeight="1" x14ac:dyDescent="0.3">
      <c r="B26" s="72"/>
      <c r="C26" s="112" t="s">
        <v>421</v>
      </c>
      <c r="D26" s="167" t="s">
        <v>451</v>
      </c>
      <c r="E26" s="168"/>
      <c r="F26" s="168"/>
      <c r="G26" s="168"/>
      <c r="H26" s="169"/>
      <c r="J26" s="155">
        <f>IF(OR(D74="Not Available", G74="Not Available"), "Error: GWP data not available for chosen refrigerant and time horizon combination. See Refrigerant GWPs tab for available refrigerant data.", E132)</f>
        <v>505.29427349341086</v>
      </c>
      <c r="K26" s="156"/>
      <c r="M26" s="118" t="s">
        <v>2</v>
      </c>
    </row>
    <row r="27" spans="2:13" ht="15" customHeight="1" x14ac:dyDescent="0.3">
      <c r="B27" s="72"/>
      <c r="C27" s="113"/>
      <c r="D27" s="141"/>
      <c r="E27" s="66"/>
      <c r="F27" s="66"/>
      <c r="G27" s="141"/>
      <c r="H27" s="66"/>
      <c r="J27" s="132"/>
      <c r="K27" s="142"/>
      <c r="M27" s="119" t="s">
        <v>3</v>
      </c>
    </row>
    <row r="28" spans="2:13" ht="15" customHeight="1" x14ac:dyDescent="0.3">
      <c r="B28" s="72"/>
      <c r="C28" s="113"/>
      <c r="D28" s="141"/>
      <c r="E28" s="66"/>
      <c r="F28" s="66"/>
      <c r="G28" s="141"/>
      <c r="H28" s="66"/>
      <c r="K28" s="80"/>
      <c r="M28" s="183" t="s">
        <v>440</v>
      </c>
    </row>
    <row r="29" spans="2:13" ht="15" customHeight="1" x14ac:dyDescent="0.3">
      <c r="B29" s="72"/>
      <c r="C29" s="113"/>
      <c r="D29" s="171" t="s">
        <v>427</v>
      </c>
      <c r="E29" s="171"/>
      <c r="F29" s="126"/>
      <c r="G29" s="171" t="s">
        <v>428</v>
      </c>
      <c r="H29" s="171"/>
      <c r="K29" s="80"/>
      <c r="M29" s="184"/>
    </row>
    <row r="30" spans="2:13" ht="15" customHeight="1" x14ac:dyDescent="0.35">
      <c r="B30" s="72"/>
      <c r="C30" s="113"/>
      <c r="D30" s="96" t="s">
        <v>424</v>
      </c>
      <c r="E30" s="96" t="s">
        <v>425</v>
      </c>
      <c r="F30" s="66"/>
      <c r="G30" s="96" t="s">
        <v>424</v>
      </c>
      <c r="H30" s="96" t="s">
        <v>425</v>
      </c>
      <c r="J30" s="140"/>
      <c r="K30" s="81"/>
      <c r="M30" s="185"/>
    </row>
    <row r="31" spans="2:13" ht="15" customHeight="1" x14ac:dyDescent="0.35">
      <c r="B31" s="72"/>
      <c r="C31" s="112" t="s">
        <v>507</v>
      </c>
      <c r="D31" s="159" t="s">
        <v>45</v>
      </c>
      <c r="E31" s="159" t="s">
        <v>45</v>
      </c>
      <c r="F31" s="143"/>
      <c r="G31" s="159" t="s">
        <v>45</v>
      </c>
      <c r="H31" s="162" t="str">
        <f>E31</f>
        <v>Residential Heat Pumps</v>
      </c>
      <c r="J31" s="140"/>
      <c r="K31" s="81"/>
    </row>
    <row r="32" spans="2:13" ht="15" customHeight="1" x14ac:dyDescent="0.35">
      <c r="B32" s="72"/>
      <c r="C32" s="112"/>
      <c r="D32" s="160"/>
      <c r="E32" s="160"/>
      <c r="F32" s="143"/>
      <c r="G32" s="160"/>
      <c r="H32" s="163"/>
      <c r="J32" s="140"/>
      <c r="K32" s="81"/>
    </row>
    <row r="33" spans="2:15" ht="15.6" x14ac:dyDescent="0.3">
      <c r="B33" s="2"/>
      <c r="C33" s="112"/>
      <c r="D33" s="160"/>
      <c r="E33" s="160"/>
      <c r="F33" s="143"/>
      <c r="G33" s="160"/>
      <c r="H33" s="163"/>
      <c r="J33" s="140"/>
      <c r="K33" s="80"/>
      <c r="N33" s="93" t="s">
        <v>409</v>
      </c>
      <c r="O33" s="93"/>
    </row>
    <row r="34" spans="2:15" ht="15" customHeight="1" x14ac:dyDescent="0.3">
      <c r="B34" s="2"/>
      <c r="C34" s="114"/>
      <c r="D34" s="160"/>
      <c r="E34" s="160"/>
      <c r="F34" s="143"/>
      <c r="G34" s="160"/>
      <c r="H34" s="163"/>
      <c r="K34" s="80"/>
      <c r="N34" s="93" t="s">
        <v>441</v>
      </c>
    </row>
    <row r="35" spans="2:15" ht="15" customHeight="1" x14ac:dyDescent="0.3">
      <c r="B35" s="2"/>
      <c r="C35" s="114"/>
      <c r="D35" s="161"/>
      <c r="E35" s="161"/>
      <c r="F35" s="143"/>
      <c r="G35" s="161"/>
      <c r="H35" s="164"/>
      <c r="K35" s="80"/>
      <c r="M35" s="93"/>
      <c r="N35" s="93" t="s">
        <v>450</v>
      </c>
    </row>
    <row r="36" spans="2:15" ht="15" customHeight="1" x14ac:dyDescent="0.3">
      <c r="B36" s="2"/>
      <c r="C36" s="114"/>
      <c r="D36" s="141"/>
      <c r="G36" s="141"/>
      <c r="K36" s="80"/>
      <c r="M36" s="93"/>
      <c r="N36" s="93"/>
    </row>
    <row r="37" spans="2:15" ht="15.6" x14ac:dyDescent="0.3">
      <c r="B37" s="2"/>
      <c r="C37" s="112" t="s">
        <v>407</v>
      </c>
      <c r="D37" s="95" t="s">
        <v>409</v>
      </c>
      <c r="E37" s="107" t="s">
        <v>409</v>
      </c>
      <c r="G37" s="95" t="s">
        <v>409</v>
      </c>
      <c r="H37" s="124" t="str">
        <f>E37</f>
        <v>ARB average</v>
      </c>
      <c r="J37" s="140"/>
      <c r="K37" s="80"/>
      <c r="M37" s="93"/>
      <c r="N37" s="93"/>
    </row>
    <row r="38" spans="2:15" x14ac:dyDescent="0.3">
      <c r="C38" s="112" t="s">
        <v>484</v>
      </c>
      <c r="D38" s="69">
        <v>2</v>
      </c>
      <c r="E38" s="108">
        <v>10</v>
      </c>
      <c r="G38" s="69">
        <v>2</v>
      </c>
      <c r="H38" s="94">
        <f>E38</f>
        <v>10</v>
      </c>
      <c r="K38" s="80"/>
      <c r="M38" s="93"/>
      <c r="N38" s="93"/>
    </row>
    <row r="39" spans="2:15" x14ac:dyDescent="0.3">
      <c r="C39" s="112" t="s">
        <v>426</v>
      </c>
      <c r="D39" s="94">
        <f>IF(D37="ARB average",INDEX('Refrigerant Leakage'!$C$2:$C$41,MATCH(D31,'Refrigerant Leakage'!$B$2:$B$41,0)),D38)</f>
        <v>15</v>
      </c>
      <c r="E39" s="109">
        <f>IF($D$26='ACC Inputs'!$B$7, 0, IF(E37="ARB average",INDEX('Refrigerant Leakage'!$C$2:$C$41,MATCH(E31,'Refrigerant Leakage'!$B$2:$B$41,0)),E38))</f>
        <v>0</v>
      </c>
      <c r="G39" s="94">
        <f>IF(G37="ARB average",INDEX('Refrigerant Leakage'!$C$2:$C$41,MATCH(G31,'Refrigerant Leakage'!$B$2:$B$41,0)),G38)</f>
        <v>15</v>
      </c>
      <c r="H39" s="109">
        <f>IF($D$26='ACC Inputs'!$B$7, 0, IF(H37="ARB average",INDEX('Refrigerant Leakage'!$C$2:$C$41,MATCH(H31,'Refrigerant Leakage'!$B$2:$B$41,0)),H38))</f>
        <v>0</v>
      </c>
      <c r="K39" s="80"/>
      <c r="M39" s="93"/>
      <c r="N39" s="93"/>
    </row>
    <row r="40" spans="2:15" ht="15" customHeight="1" x14ac:dyDescent="0.3">
      <c r="C40" s="112"/>
      <c r="K40" s="80"/>
      <c r="M40" s="93"/>
      <c r="N40" s="93"/>
    </row>
    <row r="41" spans="2:15" x14ac:dyDescent="0.3">
      <c r="C41" s="112" t="s">
        <v>385</v>
      </c>
      <c r="D41" s="69">
        <v>2025</v>
      </c>
      <c r="E41" s="108">
        <v>2022</v>
      </c>
      <c r="G41" s="94">
        <f>IF(D26='ACC Inputs'!B7,Dashboard!D41,Dashboard!H42+1)</f>
        <v>2025</v>
      </c>
      <c r="H41" s="94">
        <f>E41</f>
        <v>2022</v>
      </c>
      <c r="K41" s="80"/>
      <c r="M41" s="93"/>
      <c r="N41" s="93"/>
    </row>
    <row r="42" spans="2:15" ht="15" customHeight="1" x14ac:dyDescent="0.3">
      <c r="C42" s="115" t="s">
        <v>434</v>
      </c>
      <c r="D42" s="94">
        <f>D41+D39 -1</f>
        <v>2039</v>
      </c>
      <c r="E42" s="94">
        <f>IF(AND($D$26="Accelerated Replacement", D41&lt;(E41+E39-1)), Dashboard!D41-1, E41+E39-1)</f>
        <v>2021</v>
      </c>
      <c r="G42" s="94">
        <f>G41+G39-1</f>
        <v>2039</v>
      </c>
      <c r="H42" s="94">
        <f>H41+H39-1</f>
        <v>2021</v>
      </c>
      <c r="K42" s="80"/>
      <c r="M42" s="93"/>
      <c r="N42" s="93"/>
    </row>
    <row r="43" spans="2:15" ht="15" customHeight="1" x14ac:dyDescent="0.3">
      <c r="C43" s="115" t="s">
        <v>435</v>
      </c>
      <c r="D43" s="94">
        <f>(D41+D39 -1)-D42</f>
        <v>0</v>
      </c>
      <c r="E43" s="109">
        <f>IF(D26='ACC Inputs'!$B$7, 0, (E41+E39 -1)-E42)</f>
        <v>0</v>
      </c>
      <c r="G43" s="94">
        <f>(G41+G39-1)-G42</f>
        <v>0</v>
      </c>
      <c r="H43" s="109">
        <f>IF(D26='ACC Inputs'!$B$7, 0, (H41+H39 -1)-H42)</f>
        <v>0</v>
      </c>
      <c r="K43" s="80"/>
      <c r="M43" s="93"/>
      <c r="N43" s="93"/>
    </row>
    <row r="44" spans="2:15" ht="15" customHeight="1" x14ac:dyDescent="0.3">
      <c r="C44" s="112"/>
      <c r="D44" s="140"/>
      <c r="G44" s="140"/>
      <c r="K44" s="80"/>
      <c r="N44" s="93"/>
      <c r="O44" s="93"/>
    </row>
    <row r="45" spans="2:15" x14ac:dyDescent="0.3">
      <c r="C45" s="112" t="s">
        <v>408</v>
      </c>
      <c r="D45" s="95" t="s">
        <v>409</v>
      </c>
      <c r="E45" s="107" t="s">
        <v>409</v>
      </c>
      <c r="F45" s="98"/>
      <c r="G45" s="95" t="s">
        <v>409</v>
      </c>
      <c r="H45" s="124" t="str">
        <f>E45</f>
        <v>ARB average</v>
      </c>
      <c r="K45" s="80"/>
      <c r="N45" s="93"/>
      <c r="O45" s="93"/>
    </row>
    <row r="46" spans="2:15" x14ac:dyDescent="0.3">
      <c r="C46" s="112" t="s">
        <v>483</v>
      </c>
      <c r="D46" s="69">
        <v>7.5</v>
      </c>
      <c r="E46" s="69">
        <v>7.5</v>
      </c>
      <c r="G46" s="69">
        <v>7.5</v>
      </c>
      <c r="H46" s="94">
        <f>E46</f>
        <v>7.5</v>
      </c>
      <c r="K46" s="80"/>
      <c r="N46" s="93"/>
      <c r="O46" s="93"/>
    </row>
    <row r="47" spans="2:15" x14ac:dyDescent="0.3">
      <c r="C47" s="112" t="s">
        <v>411</v>
      </c>
      <c r="D47" s="94">
        <f>IF(D45="ARB average",INDEX('Refrigerant Leakage'!$D$2:$D$41,MATCH(D31,'Refrigerant Leakage'!$B$2:$B$41,0)),D46)</f>
        <v>8.1999999999999993</v>
      </c>
      <c r="E47" s="109">
        <f>IF(E45="ARB average",INDEX('Refrigerant Leakage'!$D$2:$D$41,MATCH(E31,'Refrigerant Leakage'!$B$2:$B$41,0)),E46)</f>
        <v>8.1999999999999993</v>
      </c>
      <c r="G47" s="94">
        <f>IF(G45="ARB average",INDEX('Refrigerant Leakage'!$D$2:$D$41,MATCH(G31,'Refrigerant Leakage'!$B$2:$B$41,0)),G46)</f>
        <v>8.1999999999999993</v>
      </c>
      <c r="H47" s="94">
        <f>E47</f>
        <v>8.1999999999999993</v>
      </c>
      <c r="K47" s="80"/>
      <c r="N47" s="93"/>
      <c r="O47" s="93" t="s">
        <v>414</v>
      </c>
    </row>
    <row r="48" spans="2:15" ht="15" customHeight="1" x14ac:dyDescent="0.3">
      <c r="C48" s="114"/>
      <c r="D48" s="140"/>
      <c r="G48" s="140"/>
      <c r="K48" s="80"/>
      <c r="N48" s="93"/>
      <c r="O48" s="93" t="s">
        <v>412</v>
      </c>
    </row>
    <row r="49" spans="3:15" x14ac:dyDescent="0.3">
      <c r="C49" s="112" t="s">
        <v>508</v>
      </c>
      <c r="D49" s="136" t="s">
        <v>117</v>
      </c>
      <c r="E49" s="137" t="s">
        <v>370</v>
      </c>
      <c r="G49" s="136" t="s">
        <v>232</v>
      </c>
      <c r="H49" s="94" t="str">
        <f>E49</f>
        <v>THR-03</v>
      </c>
      <c r="K49" s="80"/>
      <c r="N49" s="93"/>
      <c r="O49" s="93" t="s">
        <v>413</v>
      </c>
    </row>
    <row r="50" spans="3:15" ht="15" customHeight="1" x14ac:dyDescent="0.3">
      <c r="C50" s="115" t="s">
        <v>485</v>
      </c>
      <c r="D50" s="69">
        <v>675</v>
      </c>
      <c r="E50" s="69">
        <v>1000</v>
      </c>
      <c r="G50" s="69">
        <v>675</v>
      </c>
      <c r="H50" s="94">
        <f>E50</f>
        <v>1000</v>
      </c>
      <c r="K50" s="80"/>
      <c r="N50" s="93"/>
      <c r="O50" s="93" t="s">
        <v>410</v>
      </c>
    </row>
    <row r="51" spans="3:15" ht="15" customHeight="1" x14ac:dyDescent="0.3">
      <c r="C51" s="114"/>
      <c r="D51" s="140"/>
      <c r="G51" s="140"/>
      <c r="K51" s="80"/>
      <c r="N51" s="93"/>
      <c r="O51" s="93"/>
    </row>
    <row r="52" spans="3:15" ht="15" customHeight="1" x14ac:dyDescent="0.3">
      <c r="C52" s="114"/>
      <c r="D52" s="140"/>
      <c r="G52" s="140"/>
      <c r="K52" s="80"/>
      <c r="N52" s="93"/>
      <c r="O52" s="93"/>
    </row>
    <row r="53" spans="3:15" ht="15" customHeight="1" x14ac:dyDescent="0.3">
      <c r="C53" s="115" t="s">
        <v>430</v>
      </c>
      <c r="D53" s="158">
        <f>D41</f>
        <v>2025</v>
      </c>
      <c r="E53" s="158"/>
      <c r="F53" s="158"/>
      <c r="G53" s="158"/>
      <c r="H53" s="158"/>
      <c r="K53" s="80"/>
      <c r="N53" s="93"/>
      <c r="O53" s="93"/>
    </row>
    <row r="54" spans="3:15" ht="15" customHeight="1" x14ac:dyDescent="0.3">
      <c r="C54" s="115" t="s">
        <v>431</v>
      </c>
      <c r="D54" s="158">
        <f>$D$42</f>
        <v>2039</v>
      </c>
      <c r="E54" s="158"/>
      <c r="F54" s="158"/>
      <c r="G54" s="158"/>
      <c r="H54" s="158"/>
      <c r="K54" s="80"/>
      <c r="N54" s="93"/>
      <c r="O54" s="93"/>
    </row>
    <row r="55" spans="3:15" ht="15" customHeight="1" x14ac:dyDescent="0.3">
      <c r="C55" s="114"/>
      <c r="D55" s="141"/>
      <c r="G55" s="141"/>
      <c r="K55" s="80"/>
      <c r="N55" s="93"/>
      <c r="O55" s="93"/>
    </row>
    <row r="56" spans="3:15" x14ac:dyDescent="0.3">
      <c r="C56" s="112" t="s">
        <v>415</v>
      </c>
      <c r="D56" s="167" t="s">
        <v>414</v>
      </c>
      <c r="E56" s="168"/>
      <c r="F56" s="168"/>
      <c r="G56" s="168"/>
      <c r="H56" s="169"/>
      <c r="K56" s="80"/>
      <c r="N56" s="93"/>
      <c r="O56" s="93"/>
    </row>
    <row r="57" spans="3:15" x14ac:dyDescent="0.3">
      <c r="C57" s="112" t="s">
        <v>416</v>
      </c>
      <c r="D57" s="165">
        <v>0.1</v>
      </c>
      <c r="E57" s="166"/>
      <c r="F57" s="166"/>
      <c r="G57" s="166"/>
      <c r="H57" s="166"/>
      <c r="K57" s="80"/>
      <c r="N57" s="93"/>
      <c r="O57" s="93"/>
    </row>
    <row r="58" spans="3:15" x14ac:dyDescent="0.3">
      <c r="C58" s="112" t="s">
        <v>417</v>
      </c>
      <c r="D58" s="186">
        <f>IF(D56&lt;&gt;"User-specified",INDEX('ACC Inputs'!$E$7:$E$9,MATCH(D56,'ACC Inputs'!$D$7:$D$9,0)),D57)</f>
        <v>7.3400000000000007E-2</v>
      </c>
      <c r="E58" s="187"/>
      <c r="F58" s="187"/>
      <c r="G58" s="187"/>
      <c r="H58" s="188"/>
      <c r="K58" s="80"/>
    </row>
    <row r="59" spans="3:15" ht="15" customHeight="1" x14ac:dyDescent="0.3">
      <c r="C59" s="114"/>
      <c r="D59" s="140"/>
      <c r="G59" s="140"/>
      <c r="K59" s="80"/>
    </row>
    <row r="60" spans="3:15" x14ac:dyDescent="0.3">
      <c r="C60" s="112" t="s">
        <v>419</v>
      </c>
      <c r="D60" s="189" t="s">
        <v>420</v>
      </c>
      <c r="E60" s="190"/>
      <c r="F60" s="190"/>
      <c r="G60" s="190"/>
      <c r="H60" s="191"/>
      <c r="K60" s="80"/>
    </row>
    <row r="61" spans="3:15" ht="15" thickBot="1" x14ac:dyDescent="0.35">
      <c r="C61" s="82"/>
      <c r="D61" s="83"/>
      <c r="E61" s="83"/>
      <c r="F61" s="83"/>
      <c r="G61" s="83"/>
      <c r="H61" s="83"/>
      <c r="I61" s="83"/>
      <c r="J61" s="83"/>
      <c r="K61" s="84"/>
    </row>
    <row r="62" spans="3:15" ht="15" customHeight="1" x14ac:dyDescent="0.3"/>
    <row r="63" spans="3:15" ht="15" customHeight="1" x14ac:dyDescent="0.3">
      <c r="F63" s="121"/>
    </row>
    <row r="64" spans="3:15" ht="23.4" x14ac:dyDescent="0.45">
      <c r="C64" s="68" t="s">
        <v>401</v>
      </c>
      <c r="D64" s="68"/>
      <c r="E64"/>
      <c r="F64" s="121"/>
      <c r="O64" s="62"/>
    </row>
    <row r="65" spans="3:39" x14ac:dyDescent="0.3">
      <c r="O65" s="61"/>
    </row>
    <row r="66" spans="3:39" x14ac:dyDescent="0.3">
      <c r="O66" s="61"/>
    </row>
    <row r="67" spans="3:39" x14ac:dyDescent="0.3">
      <c r="D67" s="66" t="s">
        <v>427</v>
      </c>
      <c r="E67" s="66"/>
      <c r="G67" s="66" t="s">
        <v>428</v>
      </c>
      <c r="H67" s="66"/>
      <c r="K67" s="101" t="s">
        <v>380</v>
      </c>
      <c r="L67" s="101"/>
      <c r="M67" s="101"/>
      <c r="O67" s="61"/>
    </row>
    <row r="68" spans="3:39" x14ac:dyDescent="0.3">
      <c r="C68" s="100" t="s">
        <v>397</v>
      </c>
      <c r="D68" s="120" t="s">
        <v>424</v>
      </c>
      <c r="E68" s="66" t="s">
        <v>425</v>
      </c>
      <c r="G68" s="120" t="s">
        <v>424</v>
      </c>
      <c r="H68" s="66" t="s">
        <v>425</v>
      </c>
      <c r="L68" s="1">
        <v>2204.62</v>
      </c>
      <c r="M68" s="1" t="s">
        <v>381</v>
      </c>
    </row>
    <row r="69" spans="3:39" x14ac:dyDescent="0.3">
      <c r="C69" s="91" t="s">
        <v>389</v>
      </c>
      <c r="D69" s="85">
        <f>D41</f>
        <v>2025</v>
      </c>
      <c r="E69" s="85">
        <f>E41</f>
        <v>2022</v>
      </c>
      <c r="G69" s="85">
        <f>G41</f>
        <v>2025</v>
      </c>
      <c r="H69" s="85">
        <f>H41</f>
        <v>2022</v>
      </c>
      <c r="K69" s="90" t="s">
        <v>382</v>
      </c>
      <c r="L69" s="1">
        <v>1</v>
      </c>
      <c r="M69" s="1" t="s">
        <v>383</v>
      </c>
    </row>
    <row r="70" spans="3:39" x14ac:dyDescent="0.3">
      <c r="C70" s="91" t="s">
        <v>387</v>
      </c>
      <c r="D70" s="85">
        <f>D42</f>
        <v>2039</v>
      </c>
      <c r="E70" s="85">
        <f>E42</f>
        <v>2021</v>
      </c>
      <c r="G70" s="85">
        <f>G42</f>
        <v>2039</v>
      </c>
      <c r="H70" s="85">
        <f>H42</f>
        <v>2021</v>
      </c>
    </row>
    <row r="71" spans="3:39" x14ac:dyDescent="0.3">
      <c r="C71" s="91" t="s">
        <v>445</v>
      </c>
      <c r="D71" s="123">
        <f>MAX((1+ MIN(D42,$D$54) - MAX(D41,$D$53)),0)</f>
        <v>15</v>
      </c>
      <c r="E71" s="123">
        <f>MAX((1+ MIN(E42,$D$54) - MAX(E41,$D$53)),0)</f>
        <v>0</v>
      </c>
      <c r="G71" s="123">
        <f>MAX((1+ MIN(G42,$D$54) - MAX(G41,$D$53)),0)</f>
        <v>15</v>
      </c>
      <c r="H71" s="123">
        <f>MAX((1+ MIN(H42,$D$54) - MAX(H41,$D$53)),0)</f>
        <v>0</v>
      </c>
    </row>
    <row r="72" spans="3:39" x14ac:dyDescent="0.3">
      <c r="C72" s="91" t="s">
        <v>436</v>
      </c>
      <c r="D72" s="105">
        <f xml:space="preserve"> IF(D71=0, 0, D71/D39)</f>
        <v>1</v>
      </c>
      <c r="E72" s="105">
        <f xml:space="preserve"> IF(E71=0, 0, E71/E39)</f>
        <v>0</v>
      </c>
      <c r="G72" s="105">
        <f xml:space="preserve"> IF(G71=0, 0, G71/G39)</f>
        <v>1</v>
      </c>
      <c r="H72" s="105">
        <f xml:space="preserve"> IF(H71=0, 0, H71/H39)</f>
        <v>0</v>
      </c>
    </row>
    <row r="73" spans="3:39" x14ac:dyDescent="0.3">
      <c r="C73" s="91" t="s">
        <v>437</v>
      </c>
      <c r="D73" s="105">
        <f>IF(D39=0, 0, D43/D39)</f>
        <v>0</v>
      </c>
      <c r="E73" s="105">
        <f>IF(E39=0, 0, E43/E39)</f>
        <v>0</v>
      </c>
      <c r="G73" s="105">
        <f>IF(G39=0, 0,G43/G39)</f>
        <v>0</v>
      </c>
      <c r="H73" s="105">
        <f>IF(H39=0, 0,H43/H39)</f>
        <v>0</v>
      </c>
    </row>
    <row r="74" spans="3:39" x14ac:dyDescent="0.3">
      <c r="C74" s="91" t="s">
        <v>388</v>
      </c>
      <c r="D74" s="86">
        <f>IF(D49="User Specified", D50, INDEX('Refrigerant GWPs'!$G$2:$G$154,MATCH(Dashboard!D$49,'Refrigerant GWPs'!$A$2:$A$154,0)))</f>
        <v>1430</v>
      </c>
      <c r="E74" s="86">
        <f>IF(E49="User Specified", E50, INDEX('Refrigerant GWPs'!$G$2:$G$154,MATCH(Dashboard!E$49,'Refrigerant GWPs'!$A$2:$A$154,0)))</f>
        <v>954</v>
      </c>
      <c r="G74" s="86">
        <f>IF(G49="User Specified", G50, INDEX('Refrigerant GWPs'!$G$2:$G$154,MATCH(Dashboard!G$49,'Refrigerant GWPs'!$A$2:$A$154,0)))</f>
        <v>2087.5</v>
      </c>
      <c r="H74" s="86">
        <f>IF(H49="User Specified", H50, INDEX('Refrigerant GWPs'!$G$2:$G$154,MATCH(Dashboard!H$49,'Refrigerant GWPs'!$A$2:$A$154,0)))</f>
        <v>954</v>
      </c>
    </row>
    <row r="75" spans="3:39" x14ac:dyDescent="0.3">
      <c r="C75" s="92" t="s">
        <v>392</v>
      </c>
      <c r="D75" s="87">
        <f>INDEX('Refrigerant Leakage'!$E$2:$E$41,MATCH(Dashboard!$D$31,'Refrigerant Leakage'!$B$2:$B$41,0))</f>
        <v>5.2999999999999999E-2</v>
      </c>
      <c r="E75" s="87">
        <f>INDEX('Refrigerant Leakage'!$E$2:$E$41,MATCH(Dashboard!$E$31,'Refrigerant Leakage'!$B$2:$B$41,0))</f>
        <v>5.2999999999999999E-2</v>
      </c>
      <c r="G75" s="87">
        <f>INDEX('Refrigerant Leakage'!$E$2:$E$41,MATCH(Dashboard!$G$31,'Refrigerant Leakage'!$B$2:$B$41,0))</f>
        <v>5.2999999999999999E-2</v>
      </c>
      <c r="H75" s="87">
        <f>INDEX('Refrigerant Leakage'!$E$2:$E$41,MATCH(Dashboard!$H$31,'Refrigerant Leakage'!$B$2:$B$41,0))</f>
        <v>5.2999999999999999E-2</v>
      </c>
    </row>
    <row r="76" spans="3:39" x14ac:dyDescent="0.3">
      <c r="C76" s="91" t="s">
        <v>393</v>
      </c>
      <c r="D76" s="87">
        <f>INDEX('Refrigerant Leakage'!$F$2:$F$41,MATCH(Dashboard!D31,'Refrigerant Leakage'!$B$2:$B$41,0))</f>
        <v>0.8</v>
      </c>
      <c r="E76" s="87">
        <f>INDEX('Refrigerant Leakage'!$F$2:$F$41,MATCH(Dashboard!E31,'Refrigerant Leakage'!$B$2:$B$41,0))</f>
        <v>0.8</v>
      </c>
      <c r="G76" s="87">
        <f>INDEX('Refrigerant Leakage'!$F$2:$F$41,MATCH(Dashboard!G31,'Refrigerant Leakage'!$B$2:$B$41,0))</f>
        <v>0.8</v>
      </c>
      <c r="H76" s="87">
        <f>INDEX('Refrigerant Leakage'!$F$2:$F$41,MATCH(Dashboard!H31,'Refrigerant Leakage'!$B$2:$B$41,0))</f>
        <v>0.8</v>
      </c>
    </row>
    <row r="77" spans="3:39" x14ac:dyDescent="0.3">
      <c r="C77" s="91" t="s">
        <v>394</v>
      </c>
      <c r="D77" s="88">
        <f>INDEX('Refrigerant Leakage'!$G$2:$G$41,MATCH(Dashboard!D31,'Refrigerant Leakage'!$B$2:$B$41,0))</f>
        <v>3</v>
      </c>
      <c r="E77" s="88">
        <f>INDEX('Refrigerant Leakage'!$G$2:$G$41,MATCH(Dashboard!E31,'Refrigerant Leakage'!$B$2:$B$41,0))</f>
        <v>3</v>
      </c>
      <c r="G77" s="88">
        <f>INDEX('Refrigerant Leakage'!$G$2:$G$41,MATCH(Dashboard!G31,'Refrigerant Leakage'!$B$2:$B$41,0))</f>
        <v>3</v>
      </c>
      <c r="H77" s="88">
        <f>INDEX('Refrigerant Leakage'!$G$2:$G$41,MATCH(Dashboard!H31,'Refrigerant Leakage'!$B$2:$B$41,0))</f>
        <v>3</v>
      </c>
    </row>
    <row r="78" spans="3:39" x14ac:dyDescent="0.3">
      <c r="C78" s="91" t="s">
        <v>390</v>
      </c>
      <c r="D78" s="89">
        <f>D47*D75/$L$68*D74</f>
        <v>0.28189801417024246</v>
      </c>
      <c r="E78" s="89">
        <f>IF($D$26='ACC Inputs'!$B$7, 0, E47*E75/$L$68*E74)</f>
        <v>0</v>
      </c>
      <c r="G78" s="89">
        <f>G47*G75/$L$68*G74</f>
        <v>0.41151196124502182</v>
      </c>
      <c r="H78" s="89">
        <f>IF($D$26='ACC Inputs'!$B$7, 0, H47*H75/$L$68*H74)</f>
        <v>0</v>
      </c>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row>
    <row r="79" spans="3:39" ht="15" customHeight="1" x14ac:dyDescent="0.3">
      <c r="C79" s="91" t="s">
        <v>391</v>
      </c>
      <c r="D79" s="89">
        <f>(D47-D47*D75*D77)*D76/$L$68*D74</f>
        <v>3.5785091308252674</v>
      </c>
      <c r="E79" s="89">
        <f>IF($D$26='ACC Inputs'!$B$7, 0, (E47-E47*E75*E77)*E76/$L$68*E74)</f>
        <v>0</v>
      </c>
      <c r="G79" s="89">
        <f>(G47-G47*G75*G77)*G76/$L$68*G74</f>
        <v>5.2238725948235984</v>
      </c>
      <c r="H79" s="89">
        <f>IF($D$26='ACC Inputs'!$B$7, 0, (H47-H47*H75*H77)*H76/$L$68*H74)</f>
        <v>0</v>
      </c>
      <c r="U79" s="64"/>
      <c r="W79" s="64"/>
    </row>
    <row r="80" spans="3:39" ht="15" customHeight="1" x14ac:dyDescent="0.3">
      <c r="E80" s="63"/>
      <c r="U80" s="64"/>
      <c r="W80" s="64"/>
    </row>
    <row r="81" spans="1:35" ht="15" customHeight="1" x14ac:dyDescent="0.3">
      <c r="E81" s="63"/>
      <c r="U81" s="64"/>
      <c r="W81" s="64"/>
    </row>
    <row r="82" spans="1:35" ht="21" customHeight="1" x14ac:dyDescent="0.3">
      <c r="A82" s="66"/>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row>
    <row r="84" spans="1:35" ht="15" customHeight="1" thickBot="1" x14ac:dyDescent="0.35">
      <c r="E84" s="104">
        <v>2022</v>
      </c>
      <c r="F84" s="104">
        <v>2023</v>
      </c>
      <c r="G84" s="104">
        <v>2024</v>
      </c>
      <c r="H84" s="104">
        <v>2025</v>
      </c>
      <c r="I84" s="104">
        <v>2026</v>
      </c>
      <c r="J84" s="104">
        <v>2027</v>
      </c>
      <c r="K84" s="104">
        <v>2028</v>
      </c>
      <c r="L84" s="104">
        <v>2029</v>
      </c>
      <c r="M84" s="104">
        <v>2030</v>
      </c>
      <c r="N84" s="104">
        <v>2031</v>
      </c>
      <c r="O84" s="104">
        <v>2032</v>
      </c>
      <c r="P84" s="104">
        <v>2033</v>
      </c>
      <c r="Q84" s="104">
        <v>2034</v>
      </c>
      <c r="R84" s="104">
        <v>2035</v>
      </c>
      <c r="S84" s="104">
        <v>2036</v>
      </c>
      <c r="T84" s="104">
        <v>2037</v>
      </c>
      <c r="U84" s="104">
        <v>2038</v>
      </c>
      <c r="V84" s="104">
        <v>2039</v>
      </c>
      <c r="W84" s="104">
        <v>2040</v>
      </c>
      <c r="X84" s="104">
        <v>2041</v>
      </c>
      <c r="Y84" s="104">
        <v>2042</v>
      </c>
      <c r="Z84" s="104">
        <v>2043</v>
      </c>
      <c r="AA84" s="104">
        <v>2044</v>
      </c>
      <c r="AB84" s="104">
        <v>2045</v>
      </c>
      <c r="AC84" s="104">
        <v>2046</v>
      </c>
      <c r="AD84" s="104">
        <v>2047</v>
      </c>
      <c r="AE84" s="104">
        <v>2048</v>
      </c>
      <c r="AF84" s="104">
        <v>2049</v>
      </c>
      <c r="AG84" s="104">
        <v>2050</v>
      </c>
      <c r="AH84" s="104">
        <v>2051</v>
      </c>
      <c r="AI84" s="104">
        <v>2052</v>
      </c>
    </row>
    <row r="85" spans="1:35" ht="15" customHeight="1" x14ac:dyDescent="0.3">
      <c r="B85" s="173" t="s">
        <v>427</v>
      </c>
      <c r="C85" s="172" t="s">
        <v>443</v>
      </c>
      <c r="D85" s="172"/>
      <c r="E85" s="144">
        <f t="shared" ref="E85:AI85" si="0">IF(AND(E$84&gt;=$D$53,E$84&lt;=$D$54, E$84&gt;=$D$69, E$84&lt;=$D$70),$D$78,0)</f>
        <v>0</v>
      </c>
      <c r="F85" s="127">
        <f t="shared" si="0"/>
        <v>0</v>
      </c>
      <c r="G85" s="127">
        <f t="shared" si="0"/>
        <v>0</v>
      </c>
      <c r="H85" s="127">
        <f t="shared" si="0"/>
        <v>0.28189801417024246</v>
      </c>
      <c r="I85" s="127">
        <f t="shared" si="0"/>
        <v>0.28189801417024246</v>
      </c>
      <c r="J85" s="127">
        <f t="shared" si="0"/>
        <v>0.28189801417024246</v>
      </c>
      <c r="K85" s="127">
        <f t="shared" si="0"/>
        <v>0.28189801417024246</v>
      </c>
      <c r="L85" s="127">
        <f t="shared" si="0"/>
        <v>0.28189801417024246</v>
      </c>
      <c r="M85" s="127">
        <f t="shared" si="0"/>
        <v>0.28189801417024246</v>
      </c>
      <c r="N85" s="127">
        <f t="shared" si="0"/>
        <v>0.28189801417024246</v>
      </c>
      <c r="O85" s="127">
        <f t="shared" si="0"/>
        <v>0.28189801417024246</v>
      </c>
      <c r="P85" s="127">
        <f t="shared" si="0"/>
        <v>0.28189801417024246</v>
      </c>
      <c r="Q85" s="127">
        <f t="shared" si="0"/>
        <v>0.28189801417024246</v>
      </c>
      <c r="R85" s="127">
        <f t="shared" si="0"/>
        <v>0.28189801417024246</v>
      </c>
      <c r="S85" s="127">
        <f t="shared" si="0"/>
        <v>0.28189801417024246</v>
      </c>
      <c r="T85" s="127">
        <f t="shared" si="0"/>
        <v>0.28189801417024246</v>
      </c>
      <c r="U85" s="127">
        <f t="shared" si="0"/>
        <v>0.28189801417024246</v>
      </c>
      <c r="V85" s="127">
        <f t="shared" si="0"/>
        <v>0.28189801417024246</v>
      </c>
      <c r="W85" s="127">
        <f t="shared" si="0"/>
        <v>0</v>
      </c>
      <c r="X85" s="127">
        <f t="shared" si="0"/>
        <v>0</v>
      </c>
      <c r="Y85" s="127">
        <f t="shared" si="0"/>
        <v>0</v>
      </c>
      <c r="Z85" s="127">
        <f t="shared" si="0"/>
        <v>0</v>
      </c>
      <c r="AA85" s="127">
        <f t="shared" si="0"/>
        <v>0</v>
      </c>
      <c r="AB85" s="127">
        <f t="shared" si="0"/>
        <v>0</v>
      </c>
      <c r="AC85" s="127">
        <f t="shared" si="0"/>
        <v>0</v>
      </c>
      <c r="AD85" s="127">
        <f t="shared" si="0"/>
        <v>0</v>
      </c>
      <c r="AE85" s="127">
        <f t="shared" si="0"/>
        <v>0</v>
      </c>
      <c r="AF85" s="127">
        <f t="shared" si="0"/>
        <v>0</v>
      </c>
      <c r="AG85" s="127">
        <f t="shared" si="0"/>
        <v>0</v>
      </c>
      <c r="AH85" s="127">
        <f t="shared" si="0"/>
        <v>0</v>
      </c>
      <c r="AI85" s="128">
        <f t="shared" si="0"/>
        <v>0</v>
      </c>
    </row>
    <row r="86" spans="1:35" ht="15" customHeight="1" x14ac:dyDescent="0.3">
      <c r="B86" s="174"/>
      <c r="C86" s="170" t="s">
        <v>444</v>
      </c>
      <c r="D86" s="170"/>
      <c r="E86" s="145">
        <f t="shared" ref="E86:AI86" si="1">IF(AND(E$84&gt;=$D$53,E$84&lt;=$D$54, E$84&gt;=$E$69, E$84&lt;=$E$70),$E$78,0)</f>
        <v>0</v>
      </c>
      <c r="F86" s="146">
        <f t="shared" si="1"/>
        <v>0</v>
      </c>
      <c r="G86" s="146">
        <f t="shared" si="1"/>
        <v>0</v>
      </c>
      <c r="H86" s="146">
        <f t="shared" si="1"/>
        <v>0</v>
      </c>
      <c r="I86" s="146">
        <f t="shared" si="1"/>
        <v>0</v>
      </c>
      <c r="J86" s="146">
        <f t="shared" si="1"/>
        <v>0</v>
      </c>
      <c r="K86" s="146">
        <f t="shared" si="1"/>
        <v>0</v>
      </c>
      <c r="L86" s="146">
        <f t="shared" si="1"/>
        <v>0</v>
      </c>
      <c r="M86" s="146">
        <f t="shared" si="1"/>
        <v>0</v>
      </c>
      <c r="N86" s="146">
        <f t="shared" si="1"/>
        <v>0</v>
      </c>
      <c r="O86" s="146">
        <f t="shared" si="1"/>
        <v>0</v>
      </c>
      <c r="P86" s="146">
        <f t="shared" si="1"/>
        <v>0</v>
      </c>
      <c r="Q86" s="146">
        <f t="shared" si="1"/>
        <v>0</v>
      </c>
      <c r="R86" s="146">
        <f t="shared" si="1"/>
        <v>0</v>
      </c>
      <c r="S86" s="146">
        <f t="shared" si="1"/>
        <v>0</v>
      </c>
      <c r="T86" s="146">
        <f t="shared" si="1"/>
        <v>0</v>
      </c>
      <c r="U86" s="146">
        <f t="shared" si="1"/>
        <v>0</v>
      </c>
      <c r="V86" s="146">
        <f t="shared" si="1"/>
        <v>0</v>
      </c>
      <c r="W86" s="146">
        <f t="shared" si="1"/>
        <v>0</v>
      </c>
      <c r="X86" s="146">
        <f t="shared" si="1"/>
        <v>0</v>
      </c>
      <c r="Y86" s="146">
        <f t="shared" si="1"/>
        <v>0</v>
      </c>
      <c r="Z86" s="146">
        <f t="shared" si="1"/>
        <v>0</v>
      </c>
      <c r="AA86" s="146">
        <f t="shared" si="1"/>
        <v>0</v>
      </c>
      <c r="AB86" s="146">
        <f t="shared" si="1"/>
        <v>0</v>
      </c>
      <c r="AC86" s="146">
        <f t="shared" si="1"/>
        <v>0</v>
      </c>
      <c r="AD86" s="146">
        <f t="shared" si="1"/>
        <v>0</v>
      </c>
      <c r="AE86" s="146">
        <f t="shared" si="1"/>
        <v>0</v>
      </c>
      <c r="AF86" s="146">
        <f t="shared" si="1"/>
        <v>0</v>
      </c>
      <c r="AG86" s="146">
        <f t="shared" si="1"/>
        <v>0</v>
      </c>
      <c r="AH86" s="146">
        <f t="shared" si="1"/>
        <v>0</v>
      </c>
      <c r="AI86" s="122">
        <f t="shared" si="1"/>
        <v>0</v>
      </c>
    </row>
    <row r="87" spans="1:35" ht="15" customHeight="1" x14ac:dyDescent="0.3">
      <c r="B87" s="174"/>
      <c r="C87" s="170" t="s">
        <v>432</v>
      </c>
      <c r="D87" s="170"/>
      <c r="E87" s="145">
        <f t="shared" ref="E87:AI87" si="2">IF(E$84=$D$70,$D$79,0)</f>
        <v>0</v>
      </c>
      <c r="F87" s="146">
        <f t="shared" si="2"/>
        <v>0</v>
      </c>
      <c r="G87" s="146">
        <f t="shared" si="2"/>
        <v>0</v>
      </c>
      <c r="H87" s="146">
        <f t="shared" si="2"/>
        <v>0</v>
      </c>
      <c r="I87" s="146">
        <f t="shared" si="2"/>
        <v>0</v>
      </c>
      <c r="J87" s="146">
        <f t="shared" si="2"/>
        <v>0</v>
      </c>
      <c r="K87" s="146">
        <f t="shared" si="2"/>
        <v>0</v>
      </c>
      <c r="L87" s="146">
        <f t="shared" si="2"/>
        <v>0</v>
      </c>
      <c r="M87" s="146">
        <f t="shared" si="2"/>
        <v>0</v>
      </c>
      <c r="N87" s="146">
        <f t="shared" si="2"/>
        <v>0</v>
      </c>
      <c r="O87" s="146">
        <f t="shared" si="2"/>
        <v>0</v>
      </c>
      <c r="P87" s="146">
        <f t="shared" si="2"/>
        <v>0</v>
      </c>
      <c r="Q87" s="146">
        <f t="shared" si="2"/>
        <v>0</v>
      </c>
      <c r="R87" s="146">
        <f t="shared" si="2"/>
        <v>0</v>
      </c>
      <c r="S87" s="146">
        <f t="shared" si="2"/>
        <v>0</v>
      </c>
      <c r="T87" s="146">
        <f t="shared" si="2"/>
        <v>0</v>
      </c>
      <c r="U87" s="146">
        <f t="shared" si="2"/>
        <v>0</v>
      </c>
      <c r="V87" s="146">
        <f t="shared" si="2"/>
        <v>3.5785091308252674</v>
      </c>
      <c r="W87" s="146">
        <f t="shared" si="2"/>
        <v>0</v>
      </c>
      <c r="X87" s="146">
        <f t="shared" si="2"/>
        <v>0</v>
      </c>
      <c r="Y87" s="146">
        <f t="shared" si="2"/>
        <v>0</v>
      </c>
      <c r="Z87" s="146">
        <f t="shared" si="2"/>
        <v>0</v>
      </c>
      <c r="AA87" s="146">
        <f t="shared" si="2"/>
        <v>0</v>
      </c>
      <c r="AB87" s="146">
        <f t="shared" si="2"/>
        <v>0</v>
      </c>
      <c r="AC87" s="146">
        <f t="shared" si="2"/>
        <v>0</v>
      </c>
      <c r="AD87" s="146">
        <f t="shared" si="2"/>
        <v>0</v>
      </c>
      <c r="AE87" s="146">
        <f t="shared" si="2"/>
        <v>0</v>
      </c>
      <c r="AF87" s="146">
        <f t="shared" si="2"/>
        <v>0</v>
      </c>
      <c r="AG87" s="146">
        <f t="shared" si="2"/>
        <v>0</v>
      </c>
      <c r="AH87" s="146">
        <f t="shared" si="2"/>
        <v>0</v>
      </c>
      <c r="AI87" s="122">
        <f t="shared" si="2"/>
        <v>0</v>
      </c>
    </row>
    <row r="88" spans="1:35" ht="15" customHeight="1" x14ac:dyDescent="0.3">
      <c r="B88" s="174"/>
      <c r="C88" s="170" t="s">
        <v>433</v>
      </c>
      <c r="D88" s="170"/>
      <c r="E88" s="145">
        <f t="shared" ref="E88:AI88" si="3">IF(E$84=$E$70,$E$79,0)</f>
        <v>0</v>
      </c>
      <c r="F88" s="146">
        <f t="shared" si="3"/>
        <v>0</v>
      </c>
      <c r="G88" s="146">
        <f t="shared" si="3"/>
        <v>0</v>
      </c>
      <c r="H88" s="146">
        <f t="shared" si="3"/>
        <v>0</v>
      </c>
      <c r="I88" s="146">
        <f t="shared" si="3"/>
        <v>0</v>
      </c>
      <c r="J88" s="146">
        <f t="shared" si="3"/>
        <v>0</v>
      </c>
      <c r="K88" s="146">
        <f t="shared" si="3"/>
        <v>0</v>
      </c>
      <c r="L88" s="146">
        <f t="shared" si="3"/>
        <v>0</v>
      </c>
      <c r="M88" s="146">
        <f t="shared" si="3"/>
        <v>0</v>
      </c>
      <c r="N88" s="146">
        <f t="shared" si="3"/>
        <v>0</v>
      </c>
      <c r="O88" s="146">
        <f t="shared" si="3"/>
        <v>0</v>
      </c>
      <c r="P88" s="146">
        <f t="shared" si="3"/>
        <v>0</v>
      </c>
      <c r="Q88" s="146">
        <f t="shared" si="3"/>
        <v>0</v>
      </c>
      <c r="R88" s="146">
        <f t="shared" si="3"/>
        <v>0</v>
      </c>
      <c r="S88" s="146">
        <f t="shared" si="3"/>
        <v>0</v>
      </c>
      <c r="T88" s="146">
        <f t="shared" si="3"/>
        <v>0</v>
      </c>
      <c r="U88" s="146">
        <f t="shared" si="3"/>
        <v>0</v>
      </c>
      <c r="V88" s="146">
        <f t="shared" si="3"/>
        <v>0</v>
      </c>
      <c r="W88" s="146">
        <f t="shared" si="3"/>
        <v>0</v>
      </c>
      <c r="X88" s="146">
        <f t="shared" si="3"/>
        <v>0</v>
      </c>
      <c r="Y88" s="146">
        <f t="shared" si="3"/>
        <v>0</v>
      </c>
      <c r="Z88" s="146">
        <f t="shared" si="3"/>
        <v>0</v>
      </c>
      <c r="AA88" s="146">
        <f t="shared" si="3"/>
        <v>0</v>
      </c>
      <c r="AB88" s="146">
        <f t="shared" si="3"/>
        <v>0</v>
      </c>
      <c r="AC88" s="146">
        <f t="shared" si="3"/>
        <v>0</v>
      </c>
      <c r="AD88" s="146">
        <f t="shared" si="3"/>
        <v>0</v>
      </c>
      <c r="AE88" s="146">
        <f t="shared" si="3"/>
        <v>0</v>
      </c>
      <c r="AF88" s="146">
        <f t="shared" si="3"/>
        <v>0</v>
      </c>
      <c r="AG88" s="146">
        <f t="shared" si="3"/>
        <v>0</v>
      </c>
      <c r="AH88" s="146">
        <f t="shared" si="3"/>
        <v>0</v>
      </c>
      <c r="AI88" s="122">
        <f t="shared" si="3"/>
        <v>0</v>
      </c>
    </row>
    <row r="89" spans="1:35" ht="15" customHeight="1" x14ac:dyDescent="0.3">
      <c r="B89" s="174"/>
      <c r="C89" s="170"/>
      <c r="D89" s="170"/>
      <c r="E89" s="145"/>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22"/>
    </row>
    <row r="90" spans="1:35" ht="15" customHeight="1" x14ac:dyDescent="0.3">
      <c r="B90" s="174"/>
      <c r="C90" s="170" t="s">
        <v>395</v>
      </c>
      <c r="D90" s="170"/>
      <c r="E90" s="147">
        <f>'ACC Inputs'!E4</f>
        <v>131.79844620666665</v>
      </c>
      <c r="F90" s="148">
        <f>'ACC Inputs'!F4</f>
        <v>141.7140826429482</v>
      </c>
      <c r="G90" s="148">
        <f>'ACC Inputs'!G4</f>
        <v>152.37570546045268</v>
      </c>
      <c r="H90" s="148">
        <f>'ACC Inputs'!H4</f>
        <v>163.83943770126069</v>
      </c>
      <c r="I90" s="148">
        <f>'ACC Inputs'!I4</f>
        <v>176.16562473098554</v>
      </c>
      <c r="J90" s="148">
        <f>'ACC Inputs'!J4</f>
        <v>189.4191518982467</v>
      </c>
      <c r="K90" s="148">
        <f>'ACC Inputs'!K4</f>
        <v>203.66978609272476</v>
      </c>
      <c r="L90" s="148">
        <f>'ACC Inputs'!L4</f>
        <v>218.99254299976741</v>
      </c>
      <c r="M90" s="148">
        <f>'ACC Inputs'!M4</f>
        <v>235.46808198478325</v>
      </c>
      <c r="N90" s="148">
        <f>'ACC Inputs'!N4</f>
        <v>253.1831306861051</v>
      </c>
      <c r="O90" s="148">
        <f>'ACC Inputs'!O4</f>
        <v>272.23094155138972</v>
      </c>
      <c r="P90" s="148">
        <f>'ACC Inputs'!P4</f>
        <v>292.71178272077259</v>
      </c>
      <c r="Q90" s="148">
        <f>'ACC Inputs'!Q4</f>
        <v>314.73346584079871</v>
      </c>
      <c r="R90" s="148">
        <f>'ACC Inputs'!R4</f>
        <v>338.41191358755475</v>
      </c>
      <c r="S90" s="148">
        <f>'ACC Inputs'!S4</f>
        <v>363.87176988645848</v>
      </c>
      <c r="T90" s="148">
        <f>'ACC Inputs'!T4</f>
        <v>391.24705604091633</v>
      </c>
      <c r="U90" s="148">
        <f>'ACC Inputs'!U4</f>
        <v>420.68187622372795</v>
      </c>
      <c r="V90" s="148">
        <f>'ACC Inputs'!V4</f>
        <v>452.3311760449597</v>
      </c>
      <c r="W90" s="148">
        <f>'ACC Inputs'!W4</f>
        <v>486.36155818940881</v>
      </c>
      <c r="X90" s="148">
        <f>'ACC Inputs'!X4</f>
        <v>522.95215941719187</v>
      </c>
      <c r="Y90" s="148">
        <f>'ACC Inputs'!Y4</f>
        <v>562.29559354401204</v>
      </c>
      <c r="Z90" s="148">
        <f>'ACC Inputs'!Z4</f>
        <v>604.5989653649732</v>
      </c>
      <c r="AA90" s="148">
        <f>'ACC Inputs'!AA4</f>
        <v>650.0849608592647</v>
      </c>
      <c r="AB90" s="148">
        <f>'ACC Inputs'!AB4</f>
        <v>698.99301941457657</v>
      </c>
      <c r="AC90" s="148">
        <f>'ACC Inputs'!AC4</f>
        <v>751.58059424186649</v>
      </c>
      <c r="AD90" s="148">
        <f>'ACC Inputs'!AD4</f>
        <v>808.12450761532966</v>
      </c>
      <c r="AE90" s="148">
        <f>'ACC Inputs'!AE4</f>
        <v>868.92240807158953</v>
      </c>
      <c r="AF90" s="148">
        <f>'ACC Inputs'!AF4</f>
        <v>934.29433723884199</v>
      </c>
      <c r="AG90" s="148">
        <f>'ACC Inputs'!AG4</f>
        <v>1004.5844145437777</v>
      </c>
      <c r="AH90" s="148">
        <f>'ACC Inputs'!AH4</f>
        <v>1080.162648664621</v>
      </c>
      <c r="AI90" s="129">
        <f>'ACC Inputs'!AI4</f>
        <v>1161.4268852658229</v>
      </c>
    </row>
    <row r="91" spans="1:35" ht="15" customHeight="1" x14ac:dyDescent="0.3">
      <c r="B91" s="174"/>
      <c r="C91" s="170" t="s">
        <v>446</v>
      </c>
      <c r="D91" s="170"/>
      <c r="E91" s="147">
        <f t="shared" ref="E91:AI91" si="4">E$90*E85</f>
        <v>0</v>
      </c>
      <c r="F91" s="148">
        <f t="shared" si="4"/>
        <v>0</v>
      </c>
      <c r="G91" s="148">
        <f t="shared" si="4"/>
        <v>0</v>
      </c>
      <c r="H91" s="148">
        <f t="shared" si="4"/>
        <v>46.186012130754541</v>
      </c>
      <c r="I91" s="148">
        <f t="shared" si="4"/>
        <v>49.660739776724981</v>
      </c>
      <c r="J91" s="148">
        <f t="shared" si="4"/>
        <v>53.396882765927259</v>
      </c>
      <c r="K91" s="148">
        <f t="shared" si="4"/>
        <v>57.414108246017179</v>
      </c>
      <c r="L91" s="148">
        <f t="shared" si="4"/>
        <v>61.733562989725861</v>
      </c>
      <c r="M91" s="148">
        <f t="shared" si="4"/>
        <v>66.377984711986244</v>
      </c>
      <c r="N91" s="148">
        <f t="shared" si="4"/>
        <v>71.371821761818012</v>
      </c>
      <c r="O91" s="148">
        <f t="shared" si="4"/>
        <v>76.741361819032107</v>
      </c>
      <c r="P91" s="148">
        <f t="shared" si="4"/>
        <v>82.514870273217284</v>
      </c>
      <c r="Q91" s="148">
        <f t="shared" si="4"/>
        <v>88.722739013438996</v>
      </c>
      <c r="R91" s="148">
        <f t="shared" si="4"/>
        <v>95.397646411883372</v>
      </c>
      <c r="S91" s="148">
        <f t="shared" si="4"/>
        <v>102.57472934360408</v>
      </c>
      <c r="T91" s="148">
        <f t="shared" si="4"/>
        <v>110.29176814788788</v>
      </c>
      <c r="U91" s="148">
        <f t="shared" si="4"/>
        <v>118.58938550488065</v>
      </c>
      <c r="V91" s="148">
        <f t="shared" si="4"/>
        <v>127.51126027436449</v>
      </c>
      <c r="W91" s="148">
        <f t="shared" si="4"/>
        <v>0</v>
      </c>
      <c r="X91" s="148">
        <f t="shared" si="4"/>
        <v>0</v>
      </c>
      <c r="Y91" s="148">
        <f t="shared" si="4"/>
        <v>0</v>
      </c>
      <c r="Z91" s="148">
        <f t="shared" si="4"/>
        <v>0</v>
      </c>
      <c r="AA91" s="148">
        <f t="shared" si="4"/>
        <v>0</v>
      </c>
      <c r="AB91" s="148">
        <f t="shared" si="4"/>
        <v>0</v>
      </c>
      <c r="AC91" s="148">
        <f t="shared" si="4"/>
        <v>0</v>
      </c>
      <c r="AD91" s="148">
        <f t="shared" si="4"/>
        <v>0</v>
      </c>
      <c r="AE91" s="148">
        <f t="shared" si="4"/>
        <v>0</v>
      </c>
      <c r="AF91" s="148">
        <f t="shared" si="4"/>
        <v>0</v>
      </c>
      <c r="AG91" s="148">
        <f t="shared" si="4"/>
        <v>0</v>
      </c>
      <c r="AH91" s="148">
        <f t="shared" si="4"/>
        <v>0</v>
      </c>
      <c r="AI91" s="129">
        <f t="shared" si="4"/>
        <v>0</v>
      </c>
    </row>
    <row r="92" spans="1:35" ht="15" customHeight="1" x14ac:dyDescent="0.3">
      <c r="B92" s="174"/>
      <c r="C92" s="170" t="s">
        <v>447</v>
      </c>
      <c r="D92" s="170"/>
      <c r="E92" s="147">
        <f t="shared" ref="E92:AI92" si="5">E$90*E86</f>
        <v>0</v>
      </c>
      <c r="F92" s="148">
        <f t="shared" si="5"/>
        <v>0</v>
      </c>
      <c r="G92" s="148">
        <f t="shared" si="5"/>
        <v>0</v>
      </c>
      <c r="H92" s="148">
        <f t="shared" si="5"/>
        <v>0</v>
      </c>
      <c r="I92" s="148">
        <f t="shared" si="5"/>
        <v>0</v>
      </c>
      <c r="J92" s="148">
        <f t="shared" si="5"/>
        <v>0</v>
      </c>
      <c r="K92" s="148">
        <f t="shared" si="5"/>
        <v>0</v>
      </c>
      <c r="L92" s="148">
        <f t="shared" si="5"/>
        <v>0</v>
      </c>
      <c r="M92" s="148">
        <f t="shared" si="5"/>
        <v>0</v>
      </c>
      <c r="N92" s="148">
        <f t="shared" si="5"/>
        <v>0</v>
      </c>
      <c r="O92" s="148">
        <f t="shared" si="5"/>
        <v>0</v>
      </c>
      <c r="P92" s="148">
        <f t="shared" si="5"/>
        <v>0</v>
      </c>
      <c r="Q92" s="148">
        <f t="shared" si="5"/>
        <v>0</v>
      </c>
      <c r="R92" s="148">
        <f t="shared" si="5"/>
        <v>0</v>
      </c>
      <c r="S92" s="148">
        <f t="shared" si="5"/>
        <v>0</v>
      </c>
      <c r="T92" s="148">
        <f t="shared" si="5"/>
        <v>0</v>
      </c>
      <c r="U92" s="148">
        <f t="shared" si="5"/>
        <v>0</v>
      </c>
      <c r="V92" s="148">
        <f t="shared" si="5"/>
        <v>0</v>
      </c>
      <c r="W92" s="148">
        <f t="shared" si="5"/>
        <v>0</v>
      </c>
      <c r="X92" s="148">
        <f t="shared" si="5"/>
        <v>0</v>
      </c>
      <c r="Y92" s="148">
        <f t="shared" si="5"/>
        <v>0</v>
      </c>
      <c r="Z92" s="148">
        <f t="shared" si="5"/>
        <v>0</v>
      </c>
      <c r="AA92" s="148">
        <f t="shared" si="5"/>
        <v>0</v>
      </c>
      <c r="AB92" s="148">
        <f t="shared" si="5"/>
        <v>0</v>
      </c>
      <c r="AC92" s="148">
        <f t="shared" si="5"/>
        <v>0</v>
      </c>
      <c r="AD92" s="148">
        <f t="shared" si="5"/>
        <v>0</v>
      </c>
      <c r="AE92" s="148">
        <f t="shared" si="5"/>
        <v>0</v>
      </c>
      <c r="AF92" s="148">
        <f t="shared" si="5"/>
        <v>0</v>
      </c>
      <c r="AG92" s="148">
        <f t="shared" si="5"/>
        <v>0</v>
      </c>
      <c r="AH92" s="148">
        <f t="shared" si="5"/>
        <v>0</v>
      </c>
      <c r="AI92" s="129">
        <f t="shared" si="5"/>
        <v>0</v>
      </c>
    </row>
    <row r="93" spans="1:35" ht="15" customHeight="1" x14ac:dyDescent="0.3">
      <c r="B93" s="174"/>
      <c r="C93" s="170" t="s">
        <v>448</v>
      </c>
      <c r="D93" s="170"/>
      <c r="E93" s="147">
        <f t="shared" ref="E93:AI93" si="6">E$90*E87</f>
        <v>0</v>
      </c>
      <c r="F93" s="148">
        <f t="shared" si="6"/>
        <v>0</v>
      </c>
      <c r="G93" s="148">
        <f t="shared" si="6"/>
        <v>0</v>
      </c>
      <c r="H93" s="148">
        <f t="shared" si="6"/>
        <v>0</v>
      </c>
      <c r="I93" s="148">
        <f t="shared" si="6"/>
        <v>0</v>
      </c>
      <c r="J93" s="148">
        <f t="shared" si="6"/>
        <v>0</v>
      </c>
      <c r="K93" s="148">
        <f t="shared" si="6"/>
        <v>0</v>
      </c>
      <c r="L93" s="148">
        <f t="shared" si="6"/>
        <v>0</v>
      </c>
      <c r="M93" s="148">
        <f t="shared" si="6"/>
        <v>0</v>
      </c>
      <c r="N93" s="148">
        <f t="shared" si="6"/>
        <v>0</v>
      </c>
      <c r="O93" s="148">
        <f t="shared" si="6"/>
        <v>0</v>
      </c>
      <c r="P93" s="148">
        <f t="shared" si="6"/>
        <v>0</v>
      </c>
      <c r="Q93" s="148">
        <f t="shared" si="6"/>
        <v>0</v>
      </c>
      <c r="R93" s="148">
        <f t="shared" si="6"/>
        <v>0</v>
      </c>
      <c r="S93" s="148">
        <f t="shared" si="6"/>
        <v>0</v>
      </c>
      <c r="T93" s="148">
        <f t="shared" si="6"/>
        <v>0</v>
      </c>
      <c r="U93" s="148">
        <f t="shared" si="6"/>
        <v>0</v>
      </c>
      <c r="V93" s="148">
        <f t="shared" si="6"/>
        <v>1618.6712436338198</v>
      </c>
      <c r="W93" s="148">
        <f t="shared" si="6"/>
        <v>0</v>
      </c>
      <c r="X93" s="148">
        <f t="shared" si="6"/>
        <v>0</v>
      </c>
      <c r="Y93" s="148">
        <f t="shared" si="6"/>
        <v>0</v>
      </c>
      <c r="Z93" s="148">
        <f t="shared" si="6"/>
        <v>0</v>
      </c>
      <c r="AA93" s="148">
        <f t="shared" si="6"/>
        <v>0</v>
      </c>
      <c r="AB93" s="148">
        <f t="shared" si="6"/>
        <v>0</v>
      </c>
      <c r="AC93" s="148">
        <f t="shared" si="6"/>
        <v>0</v>
      </c>
      <c r="AD93" s="148">
        <f t="shared" si="6"/>
        <v>0</v>
      </c>
      <c r="AE93" s="148">
        <f t="shared" si="6"/>
        <v>0</v>
      </c>
      <c r="AF93" s="148">
        <f t="shared" si="6"/>
        <v>0</v>
      </c>
      <c r="AG93" s="148">
        <f t="shared" si="6"/>
        <v>0</v>
      </c>
      <c r="AH93" s="148">
        <f t="shared" si="6"/>
        <v>0</v>
      </c>
      <c r="AI93" s="129">
        <f t="shared" si="6"/>
        <v>0</v>
      </c>
    </row>
    <row r="94" spans="1:35" ht="15" customHeight="1" x14ac:dyDescent="0.3">
      <c r="B94" s="174"/>
      <c r="C94" s="170" t="s">
        <v>449</v>
      </c>
      <c r="D94" s="170"/>
      <c r="E94" s="147">
        <f t="shared" ref="E94:AI94" si="7">E$90*E88</f>
        <v>0</v>
      </c>
      <c r="F94" s="148">
        <f t="shared" si="7"/>
        <v>0</v>
      </c>
      <c r="G94" s="148">
        <f t="shared" si="7"/>
        <v>0</v>
      </c>
      <c r="H94" s="148">
        <f t="shared" si="7"/>
        <v>0</v>
      </c>
      <c r="I94" s="148">
        <f t="shared" si="7"/>
        <v>0</v>
      </c>
      <c r="J94" s="148">
        <f t="shared" si="7"/>
        <v>0</v>
      </c>
      <c r="K94" s="148">
        <f t="shared" si="7"/>
        <v>0</v>
      </c>
      <c r="L94" s="148">
        <f t="shared" si="7"/>
        <v>0</v>
      </c>
      <c r="M94" s="148">
        <f t="shared" si="7"/>
        <v>0</v>
      </c>
      <c r="N94" s="148">
        <f t="shared" si="7"/>
        <v>0</v>
      </c>
      <c r="O94" s="148">
        <f t="shared" si="7"/>
        <v>0</v>
      </c>
      <c r="P94" s="148">
        <f t="shared" si="7"/>
        <v>0</v>
      </c>
      <c r="Q94" s="148">
        <f t="shared" si="7"/>
        <v>0</v>
      </c>
      <c r="R94" s="148">
        <f t="shared" si="7"/>
        <v>0</v>
      </c>
      <c r="S94" s="148">
        <f t="shared" si="7"/>
        <v>0</v>
      </c>
      <c r="T94" s="148">
        <f t="shared" si="7"/>
        <v>0</v>
      </c>
      <c r="U94" s="148">
        <f t="shared" si="7"/>
        <v>0</v>
      </c>
      <c r="V94" s="148">
        <f t="shared" si="7"/>
        <v>0</v>
      </c>
      <c r="W94" s="148">
        <f t="shared" si="7"/>
        <v>0</v>
      </c>
      <c r="X94" s="148">
        <f t="shared" si="7"/>
        <v>0</v>
      </c>
      <c r="Y94" s="148">
        <f t="shared" si="7"/>
        <v>0</v>
      </c>
      <c r="Z94" s="148">
        <f t="shared" si="7"/>
        <v>0</v>
      </c>
      <c r="AA94" s="148">
        <f t="shared" si="7"/>
        <v>0</v>
      </c>
      <c r="AB94" s="148">
        <f t="shared" si="7"/>
        <v>0</v>
      </c>
      <c r="AC94" s="148">
        <f t="shared" si="7"/>
        <v>0</v>
      </c>
      <c r="AD94" s="148">
        <f t="shared" si="7"/>
        <v>0</v>
      </c>
      <c r="AE94" s="148">
        <f t="shared" si="7"/>
        <v>0</v>
      </c>
      <c r="AF94" s="148">
        <f t="shared" si="7"/>
        <v>0</v>
      </c>
      <c r="AG94" s="148">
        <f t="shared" si="7"/>
        <v>0</v>
      </c>
      <c r="AH94" s="148">
        <f t="shared" si="7"/>
        <v>0</v>
      </c>
      <c r="AI94" s="129">
        <f t="shared" si="7"/>
        <v>0</v>
      </c>
    </row>
    <row r="95" spans="1:35" customFormat="1" ht="15" customHeight="1" x14ac:dyDescent="0.3">
      <c r="A95" s="1"/>
      <c r="B95" s="174"/>
      <c r="C95" s="126"/>
      <c r="D95" s="126"/>
      <c r="E95" s="79"/>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80"/>
    </row>
    <row r="96" spans="1:35" ht="15" customHeight="1" x14ac:dyDescent="0.3">
      <c r="B96" s="174"/>
      <c r="C96" s="1" t="s">
        <v>518</v>
      </c>
      <c r="D96" s="126"/>
      <c r="E96" s="147">
        <f>(E91/(1+$D$58)^(E$84-$D$69+0.5))</f>
        <v>0</v>
      </c>
      <c r="F96" s="148">
        <f t="shared" ref="F96:AI96" si="8">(F91/(1+$D$58)^(F$84-$D$69+0.5))</f>
        <v>0</v>
      </c>
      <c r="G96" s="148">
        <f t="shared" si="8"/>
        <v>0</v>
      </c>
      <c r="H96" s="148">
        <f t="shared" si="8"/>
        <v>44.578933042791135</v>
      </c>
      <c r="I96" s="148">
        <f t="shared" si="8"/>
        <v>44.655072453925655</v>
      </c>
      <c r="J96" s="148">
        <f t="shared" si="8"/>
        <v>44.73134190877213</v>
      </c>
      <c r="K96" s="148">
        <f t="shared" si="8"/>
        <v>44.807741629441111</v>
      </c>
      <c r="L96" s="148">
        <f t="shared" si="8"/>
        <v>44.884271838422507</v>
      </c>
      <c r="M96" s="148">
        <f t="shared" si="8"/>
        <v>44.960932758586267</v>
      </c>
      <c r="N96" s="148">
        <f t="shared" si="8"/>
        <v>45.037724613182959</v>
      </c>
      <c r="O96" s="148">
        <f t="shared" si="8"/>
        <v>45.114647625844434</v>
      </c>
      <c r="P96" s="148">
        <f t="shared" si="8"/>
        <v>45.191702020584557</v>
      </c>
      <c r="Q96" s="148">
        <f t="shared" si="8"/>
        <v>45.268888021799768</v>
      </c>
      <c r="R96" s="148">
        <f t="shared" si="8"/>
        <v>45.346205854269762</v>
      </c>
      <c r="S96" s="148">
        <f t="shared" si="8"/>
        <v>45.423655743158193</v>
      </c>
      <c r="T96" s="148">
        <f t="shared" si="8"/>
        <v>45.501237914013224</v>
      </c>
      <c r="U96" s="148">
        <f t="shared" si="8"/>
        <v>45.578952592768296</v>
      </c>
      <c r="V96" s="148">
        <f t="shared" si="8"/>
        <v>45.656800005742717</v>
      </c>
      <c r="W96" s="148">
        <f t="shared" si="8"/>
        <v>0</v>
      </c>
      <c r="X96" s="148">
        <f t="shared" si="8"/>
        <v>0</v>
      </c>
      <c r="Y96" s="148">
        <f t="shared" si="8"/>
        <v>0</v>
      </c>
      <c r="Z96" s="148">
        <f t="shared" si="8"/>
        <v>0</v>
      </c>
      <c r="AA96" s="148">
        <f t="shared" si="8"/>
        <v>0</v>
      </c>
      <c r="AB96" s="148">
        <f t="shared" si="8"/>
        <v>0</v>
      </c>
      <c r="AC96" s="148">
        <f t="shared" si="8"/>
        <v>0</v>
      </c>
      <c r="AD96" s="148">
        <f t="shared" si="8"/>
        <v>0</v>
      </c>
      <c r="AE96" s="148">
        <f t="shared" si="8"/>
        <v>0</v>
      </c>
      <c r="AF96" s="148">
        <f t="shared" si="8"/>
        <v>0</v>
      </c>
      <c r="AG96" s="148">
        <f t="shared" si="8"/>
        <v>0</v>
      </c>
      <c r="AH96" s="148">
        <f t="shared" si="8"/>
        <v>0</v>
      </c>
      <c r="AI96" s="129">
        <f t="shared" si="8"/>
        <v>0</v>
      </c>
    </row>
    <row r="97" spans="2:35" ht="15" customHeight="1" x14ac:dyDescent="0.3">
      <c r="B97" s="174"/>
      <c r="C97" s="170" t="s">
        <v>519</v>
      </c>
      <c r="D97" s="170"/>
      <c r="E97" s="147">
        <f>(E92/(1+$D$58)^(E$84-$D$69+0.5))</f>
        <v>0</v>
      </c>
      <c r="F97" s="148">
        <f t="shared" ref="F97:AI97" si="9">(F92/(1+$D$58)^(F$84-$D$69+0.5))</f>
        <v>0</v>
      </c>
      <c r="G97" s="148">
        <f t="shared" si="9"/>
        <v>0</v>
      </c>
      <c r="H97" s="148">
        <f t="shared" si="9"/>
        <v>0</v>
      </c>
      <c r="I97" s="148">
        <f t="shared" si="9"/>
        <v>0</v>
      </c>
      <c r="J97" s="148">
        <f t="shared" si="9"/>
        <v>0</v>
      </c>
      <c r="K97" s="148">
        <f t="shared" si="9"/>
        <v>0</v>
      </c>
      <c r="L97" s="148">
        <f t="shared" si="9"/>
        <v>0</v>
      </c>
      <c r="M97" s="148">
        <f t="shared" si="9"/>
        <v>0</v>
      </c>
      <c r="N97" s="148">
        <f t="shared" si="9"/>
        <v>0</v>
      </c>
      <c r="O97" s="148">
        <f t="shared" si="9"/>
        <v>0</v>
      </c>
      <c r="P97" s="148">
        <f t="shared" si="9"/>
        <v>0</v>
      </c>
      <c r="Q97" s="148">
        <f t="shared" si="9"/>
        <v>0</v>
      </c>
      <c r="R97" s="148">
        <f t="shared" si="9"/>
        <v>0</v>
      </c>
      <c r="S97" s="148">
        <f t="shared" si="9"/>
        <v>0</v>
      </c>
      <c r="T97" s="148">
        <f t="shared" si="9"/>
        <v>0</v>
      </c>
      <c r="U97" s="148">
        <f t="shared" si="9"/>
        <v>0</v>
      </c>
      <c r="V97" s="148">
        <f t="shared" si="9"/>
        <v>0</v>
      </c>
      <c r="W97" s="148">
        <f t="shared" si="9"/>
        <v>0</v>
      </c>
      <c r="X97" s="148">
        <f t="shared" si="9"/>
        <v>0</v>
      </c>
      <c r="Y97" s="148">
        <f t="shared" si="9"/>
        <v>0</v>
      </c>
      <c r="Z97" s="148">
        <f t="shared" si="9"/>
        <v>0</v>
      </c>
      <c r="AA97" s="148">
        <f t="shared" si="9"/>
        <v>0</v>
      </c>
      <c r="AB97" s="148">
        <f t="shared" si="9"/>
        <v>0</v>
      </c>
      <c r="AC97" s="148">
        <f t="shared" si="9"/>
        <v>0</v>
      </c>
      <c r="AD97" s="148">
        <f t="shared" si="9"/>
        <v>0</v>
      </c>
      <c r="AE97" s="148">
        <f t="shared" si="9"/>
        <v>0</v>
      </c>
      <c r="AF97" s="148">
        <f t="shared" si="9"/>
        <v>0</v>
      </c>
      <c r="AG97" s="148">
        <f t="shared" si="9"/>
        <v>0</v>
      </c>
      <c r="AH97" s="148">
        <f t="shared" si="9"/>
        <v>0</v>
      </c>
      <c r="AI97" s="129">
        <f t="shared" si="9"/>
        <v>0</v>
      </c>
    </row>
    <row r="98" spans="2:35" ht="15" customHeight="1" x14ac:dyDescent="0.3">
      <c r="B98" s="174"/>
      <c r="C98" s="170" t="s">
        <v>520</v>
      </c>
      <c r="D98" s="170"/>
      <c r="E98" s="147">
        <f>(E93/(1+$D$58)^(E$84-$D$69+0.5))</f>
        <v>0</v>
      </c>
      <c r="F98" s="148">
        <f t="shared" ref="F98:AI98" si="10">(F93/(1+$D$58)^(F$84-$D$69+0.5))</f>
        <v>0</v>
      </c>
      <c r="G98" s="148">
        <f t="shared" si="10"/>
        <v>0</v>
      </c>
      <c r="H98" s="148">
        <f t="shared" si="10"/>
        <v>0</v>
      </c>
      <c r="I98" s="148">
        <f t="shared" si="10"/>
        <v>0</v>
      </c>
      <c r="J98" s="148">
        <f t="shared" si="10"/>
        <v>0</v>
      </c>
      <c r="K98" s="148">
        <f t="shared" si="10"/>
        <v>0</v>
      </c>
      <c r="L98" s="148">
        <f t="shared" si="10"/>
        <v>0</v>
      </c>
      <c r="M98" s="148">
        <f t="shared" si="10"/>
        <v>0</v>
      </c>
      <c r="N98" s="148">
        <f t="shared" si="10"/>
        <v>0</v>
      </c>
      <c r="O98" s="148">
        <f t="shared" si="10"/>
        <v>0</v>
      </c>
      <c r="P98" s="148">
        <f t="shared" si="10"/>
        <v>0</v>
      </c>
      <c r="Q98" s="148">
        <f t="shared" si="10"/>
        <v>0</v>
      </c>
      <c r="R98" s="148">
        <f t="shared" si="10"/>
        <v>0</v>
      </c>
      <c r="S98" s="148">
        <f t="shared" si="10"/>
        <v>0</v>
      </c>
      <c r="T98" s="148">
        <f t="shared" si="10"/>
        <v>0</v>
      </c>
      <c r="U98" s="148">
        <f t="shared" si="10"/>
        <v>0</v>
      </c>
      <c r="V98" s="148">
        <f t="shared" si="10"/>
        <v>579.58292535591897</v>
      </c>
      <c r="W98" s="148">
        <f t="shared" si="10"/>
        <v>0</v>
      </c>
      <c r="X98" s="148">
        <f t="shared" si="10"/>
        <v>0</v>
      </c>
      <c r="Y98" s="148">
        <f t="shared" si="10"/>
        <v>0</v>
      </c>
      <c r="Z98" s="148">
        <f t="shared" si="10"/>
        <v>0</v>
      </c>
      <c r="AA98" s="148">
        <f t="shared" si="10"/>
        <v>0</v>
      </c>
      <c r="AB98" s="148">
        <f t="shared" si="10"/>
        <v>0</v>
      </c>
      <c r="AC98" s="148">
        <f t="shared" si="10"/>
        <v>0</v>
      </c>
      <c r="AD98" s="148">
        <f t="shared" si="10"/>
        <v>0</v>
      </c>
      <c r="AE98" s="148">
        <f t="shared" si="10"/>
        <v>0</v>
      </c>
      <c r="AF98" s="148">
        <f t="shared" si="10"/>
        <v>0</v>
      </c>
      <c r="AG98" s="148">
        <f t="shared" si="10"/>
        <v>0</v>
      </c>
      <c r="AH98" s="148">
        <f t="shared" si="10"/>
        <v>0</v>
      </c>
      <c r="AI98" s="129">
        <f t="shared" si="10"/>
        <v>0</v>
      </c>
    </row>
    <row r="99" spans="2:35" ht="15" customHeight="1" thickBot="1" x14ac:dyDescent="0.35">
      <c r="B99" s="175"/>
      <c r="C99" s="157" t="s">
        <v>521</v>
      </c>
      <c r="D99" s="157"/>
      <c r="E99" s="149">
        <f>(E94/(1+$D$58)^(E$84-$D$69+0.5))</f>
        <v>0</v>
      </c>
      <c r="F99" s="130">
        <f t="shared" ref="F99:AI99" si="11">(F94/(1+$D$58)^(F$84-$D$69+0.5))</f>
        <v>0</v>
      </c>
      <c r="G99" s="130">
        <f t="shared" si="11"/>
        <v>0</v>
      </c>
      <c r="H99" s="130">
        <f t="shared" si="11"/>
        <v>0</v>
      </c>
      <c r="I99" s="130">
        <f t="shared" si="11"/>
        <v>0</v>
      </c>
      <c r="J99" s="130">
        <f t="shared" si="11"/>
        <v>0</v>
      </c>
      <c r="K99" s="130">
        <f t="shared" si="11"/>
        <v>0</v>
      </c>
      <c r="L99" s="130">
        <f t="shared" si="11"/>
        <v>0</v>
      </c>
      <c r="M99" s="130">
        <f t="shared" si="11"/>
        <v>0</v>
      </c>
      <c r="N99" s="130">
        <f t="shared" si="11"/>
        <v>0</v>
      </c>
      <c r="O99" s="130">
        <f t="shared" si="11"/>
        <v>0</v>
      </c>
      <c r="P99" s="130">
        <f t="shared" si="11"/>
        <v>0</v>
      </c>
      <c r="Q99" s="130">
        <f t="shared" si="11"/>
        <v>0</v>
      </c>
      <c r="R99" s="130">
        <f t="shared" si="11"/>
        <v>0</v>
      </c>
      <c r="S99" s="130">
        <f t="shared" si="11"/>
        <v>0</v>
      </c>
      <c r="T99" s="130">
        <f t="shared" si="11"/>
        <v>0</v>
      </c>
      <c r="U99" s="130">
        <f t="shared" si="11"/>
        <v>0</v>
      </c>
      <c r="V99" s="130">
        <f t="shared" si="11"/>
        <v>0</v>
      </c>
      <c r="W99" s="130">
        <f t="shared" si="11"/>
        <v>0</v>
      </c>
      <c r="X99" s="130">
        <f t="shared" si="11"/>
        <v>0</v>
      </c>
      <c r="Y99" s="130">
        <f t="shared" si="11"/>
        <v>0</v>
      </c>
      <c r="Z99" s="130">
        <f t="shared" si="11"/>
        <v>0</v>
      </c>
      <c r="AA99" s="130">
        <f t="shared" si="11"/>
        <v>0</v>
      </c>
      <c r="AB99" s="130">
        <f t="shared" si="11"/>
        <v>0</v>
      </c>
      <c r="AC99" s="130">
        <f t="shared" si="11"/>
        <v>0</v>
      </c>
      <c r="AD99" s="130">
        <f t="shared" si="11"/>
        <v>0</v>
      </c>
      <c r="AE99" s="130">
        <f t="shared" si="11"/>
        <v>0</v>
      </c>
      <c r="AF99" s="130">
        <f t="shared" si="11"/>
        <v>0</v>
      </c>
      <c r="AG99" s="130">
        <f t="shared" si="11"/>
        <v>0</v>
      </c>
      <c r="AH99" s="130">
        <f t="shared" si="11"/>
        <v>0</v>
      </c>
      <c r="AI99" s="131">
        <f t="shared" si="11"/>
        <v>0</v>
      </c>
    </row>
    <row r="100" spans="2:35" ht="15" customHeight="1" x14ac:dyDescent="0.3">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row>
    <row r="101" spans="2:35" ht="15" customHeight="1" x14ac:dyDescent="0.3">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row>
    <row r="102" spans="2:35" ht="15" customHeight="1" thickBot="1" x14ac:dyDescent="0.35">
      <c r="E102" s="104">
        <v>2022</v>
      </c>
      <c r="F102" s="104">
        <v>2023</v>
      </c>
      <c r="G102" s="104">
        <v>2024</v>
      </c>
      <c r="H102" s="104">
        <v>2025</v>
      </c>
      <c r="I102" s="104">
        <v>2026</v>
      </c>
      <c r="J102" s="104">
        <v>2027</v>
      </c>
      <c r="K102" s="104">
        <v>2028</v>
      </c>
      <c r="L102" s="104">
        <v>2029</v>
      </c>
      <c r="M102" s="104">
        <v>2030</v>
      </c>
      <c r="N102" s="104">
        <v>2031</v>
      </c>
      <c r="O102" s="104">
        <v>2032</v>
      </c>
      <c r="P102" s="104">
        <v>2033</v>
      </c>
      <c r="Q102" s="104">
        <v>2034</v>
      </c>
      <c r="R102" s="104">
        <v>2035</v>
      </c>
      <c r="S102" s="104">
        <v>2036</v>
      </c>
      <c r="T102" s="104">
        <v>2037</v>
      </c>
      <c r="U102" s="104">
        <v>2038</v>
      </c>
      <c r="V102" s="104">
        <v>2039</v>
      </c>
      <c r="W102" s="104">
        <v>2040</v>
      </c>
      <c r="X102" s="104">
        <v>2041</v>
      </c>
      <c r="Y102" s="104">
        <v>2042</v>
      </c>
      <c r="Z102" s="104">
        <v>2043</v>
      </c>
      <c r="AA102" s="104">
        <v>2044</v>
      </c>
      <c r="AB102" s="104">
        <v>2045</v>
      </c>
      <c r="AC102" s="104">
        <v>2046</v>
      </c>
      <c r="AD102" s="104">
        <v>2047</v>
      </c>
      <c r="AE102" s="104">
        <v>2048</v>
      </c>
      <c r="AF102" s="104">
        <v>2049</v>
      </c>
      <c r="AG102" s="104">
        <v>2050</v>
      </c>
      <c r="AH102" s="104">
        <v>2051</v>
      </c>
      <c r="AI102" s="104">
        <v>2052</v>
      </c>
    </row>
    <row r="103" spans="2:35" ht="15" customHeight="1" x14ac:dyDescent="0.3">
      <c r="B103" s="173" t="s">
        <v>428</v>
      </c>
      <c r="C103" s="172" t="s">
        <v>443</v>
      </c>
      <c r="D103" s="172"/>
      <c r="E103" s="144">
        <f t="shared" ref="E103:AI103" si="12">IF(AND(E$102&gt;=$D$53,E$102&lt;=$D$54, E$102&gt;=$G$69, E$102&lt;=$G$70),$G$78,0)</f>
        <v>0</v>
      </c>
      <c r="F103" s="127">
        <f t="shared" si="12"/>
        <v>0</v>
      </c>
      <c r="G103" s="127">
        <f t="shared" si="12"/>
        <v>0</v>
      </c>
      <c r="H103" s="127">
        <f t="shared" si="12"/>
        <v>0.41151196124502182</v>
      </c>
      <c r="I103" s="127">
        <f t="shared" si="12"/>
        <v>0.41151196124502182</v>
      </c>
      <c r="J103" s="127">
        <f t="shared" si="12"/>
        <v>0.41151196124502182</v>
      </c>
      <c r="K103" s="127">
        <f t="shared" si="12"/>
        <v>0.41151196124502182</v>
      </c>
      <c r="L103" s="127">
        <f t="shared" si="12"/>
        <v>0.41151196124502182</v>
      </c>
      <c r="M103" s="127">
        <f t="shared" si="12"/>
        <v>0.41151196124502182</v>
      </c>
      <c r="N103" s="127">
        <f t="shared" si="12"/>
        <v>0.41151196124502182</v>
      </c>
      <c r="O103" s="127">
        <f t="shared" si="12"/>
        <v>0.41151196124502182</v>
      </c>
      <c r="P103" s="127">
        <f t="shared" si="12"/>
        <v>0.41151196124502182</v>
      </c>
      <c r="Q103" s="127">
        <f t="shared" si="12"/>
        <v>0.41151196124502182</v>
      </c>
      <c r="R103" s="127">
        <f t="shared" si="12"/>
        <v>0.41151196124502182</v>
      </c>
      <c r="S103" s="127">
        <f t="shared" si="12"/>
        <v>0.41151196124502182</v>
      </c>
      <c r="T103" s="127">
        <f t="shared" si="12"/>
        <v>0.41151196124502182</v>
      </c>
      <c r="U103" s="127">
        <f t="shared" si="12"/>
        <v>0.41151196124502182</v>
      </c>
      <c r="V103" s="127">
        <f t="shared" si="12"/>
        <v>0.41151196124502182</v>
      </c>
      <c r="W103" s="127">
        <f t="shared" si="12"/>
        <v>0</v>
      </c>
      <c r="X103" s="127">
        <f t="shared" si="12"/>
        <v>0</v>
      </c>
      <c r="Y103" s="127">
        <f t="shared" si="12"/>
        <v>0</v>
      </c>
      <c r="Z103" s="127">
        <f t="shared" si="12"/>
        <v>0</v>
      </c>
      <c r="AA103" s="127">
        <f t="shared" si="12"/>
        <v>0</v>
      </c>
      <c r="AB103" s="127">
        <f t="shared" si="12"/>
        <v>0</v>
      </c>
      <c r="AC103" s="127">
        <f t="shared" si="12"/>
        <v>0</v>
      </c>
      <c r="AD103" s="127">
        <f t="shared" si="12"/>
        <v>0</v>
      </c>
      <c r="AE103" s="127">
        <f t="shared" si="12"/>
        <v>0</v>
      </c>
      <c r="AF103" s="127">
        <f t="shared" si="12"/>
        <v>0</v>
      </c>
      <c r="AG103" s="127">
        <f t="shared" si="12"/>
        <v>0</v>
      </c>
      <c r="AH103" s="127">
        <f t="shared" si="12"/>
        <v>0</v>
      </c>
      <c r="AI103" s="128">
        <f t="shared" si="12"/>
        <v>0</v>
      </c>
    </row>
    <row r="104" spans="2:35" ht="15" customHeight="1" x14ac:dyDescent="0.3">
      <c r="B104" s="174"/>
      <c r="C104" s="170" t="s">
        <v>444</v>
      </c>
      <c r="D104" s="170"/>
      <c r="E104" s="145">
        <f t="shared" ref="E104:AI104" si="13">IF(AND(E$102&gt;=$D$53,E$102&lt;=$D$54, E$102&gt;=$H$69, E$102&lt;=$H$70),$H$78,0)</f>
        <v>0</v>
      </c>
      <c r="F104" s="146">
        <f t="shared" si="13"/>
        <v>0</v>
      </c>
      <c r="G104" s="146">
        <f t="shared" si="13"/>
        <v>0</v>
      </c>
      <c r="H104" s="146">
        <f t="shared" si="13"/>
        <v>0</v>
      </c>
      <c r="I104" s="146">
        <f t="shared" si="13"/>
        <v>0</v>
      </c>
      <c r="J104" s="146">
        <f t="shared" si="13"/>
        <v>0</v>
      </c>
      <c r="K104" s="146">
        <f t="shared" si="13"/>
        <v>0</v>
      </c>
      <c r="L104" s="146">
        <f t="shared" si="13"/>
        <v>0</v>
      </c>
      <c r="M104" s="146">
        <f t="shared" si="13"/>
        <v>0</v>
      </c>
      <c r="N104" s="146">
        <f t="shared" si="13"/>
        <v>0</v>
      </c>
      <c r="O104" s="146">
        <f t="shared" si="13"/>
        <v>0</v>
      </c>
      <c r="P104" s="146">
        <f t="shared" si="13"/>
        <v>0</v>
      </c>
      <c r="Q104" s="146">
        <f t="shared" si="13"/>
        <v>0</v>
      </c>
      <c r="R104" s="146">
        <f t="shared" si="13"/>
        <v>0</v>
      </c>
      <c r="S104" s="146">
        <f t="shared" si="13"/>
        <v>0</v>
      </c>
      <c r="T104" s="146">
        <f t="shared" si="13"/>
        <v>0</v>
      </c>
      <c r="U104" s="146">
        <f t="shared" si="13"/>
        <v>0</v>
      </c>
      <c r="V104" s="146">
        <f t="shared" si="13"/>
        <v>0</v>
      </c>
      <c r="W104" s="146">
        <f t="shared" si="13"/>
        <v>0</v>
      </c>
      <c r="X104" s="146">
        <f t="shared" si="13"/>
        <v>0</v>
      </c>
      <c r="Y104" s="146">
        <f t="shared" si="13"/>
        <v>0</v>
      </c>
      <c r="Z104" s="146">
        <f t="shared" si="13"/>
        <v>0</v>
      </c>
      <c r="AA104" s="146">
        <f t="shared" si="13"/>
        <v>0</v>
      </c>
      <c r="AB104" s="146">
        <f t="shared" si="13"/>
        <v>0</v>
      </c>
      <c r="AC104" s="146">
        <f t="shared" si="13"/>
        <v>0</v>
      </c>
      <c r="AD104" s="146">
        <f t="shared" si="13"/>
        <v>0</v>
      </c>
      <c r="AE104" s="146">
        <f t="shared" si="13"/>
        <v>0</v>
      </c>
      <c r="AF104" s="146">
        <f t="shared" si="13"/>
        <v>0</v>
      </c>
      <c r="AG104" s="146">
        <f t="shared" si="13"/>
        <v>0</v>
      </c>
      <c r="AH104" s="146">
        <f t="shared" si="13"/>
        <v>0</v>
      </c>
      <c r="AI104" s="122">
        <f t="shared" si="13"/>
        <v>0</v>
      </c>
    </row>
    <row r="105" spans="2:35" ht="15" customHeight="1" x14ac:dyDescent="0.3">
      <c r="B105" s="174"/>
      <c r="C105" s="170" t="s">
        <v>432</v>
      </c>
      <c r="D105" s="170"/>
      <c r="E105" s="145">
        <f t="shared" ref="E105:AI105" si="14">IF(E$84=$G$70,$G$79,0)</f>
        <v>0</v>
      </c>
      <c r="F105" s="146">
        <f t="shared" si="14"/>
        <v>0</v>
      </c>
      <c r="G105" s="146">
        <f t="shared" si="14"/>
        <v>0</v>
      </c>
      <c r="H105" s="146">
        <f t="shared" si="14"/>
        <v>0</v>
      </c>
      <c r="I105" s="146">
        <f t="shared" si="14"/>
        <v>0</v>
      </c>
      <c r="J105" s="146">
        <f t="shared" si="14"/>
        <v>0</v>
      </c>
      <c r="K105" s="146">
        <f t="shared" si="14"/>
        <v>0</v>
      </c>
      <c r="L105" s="146">
        <f t="shared" si="14"/>
        <v>0</v>
      </c>
      <c r="M105" s="146">
        <f t="shared" si="14"/>
        <v>0</v>
      </c>
      <c r="N105" s="146">
        <f t="shared" si="14"/>
        <v>0</v>
      </c>
      <c r="O105" s="146">
        <f t="shared" si="14"/>
        <v>0</v>
      </c>
      <c r="P105" s="146">
        <f t="shared" si="14"/>
        <v>0</v>
      </c>
      <c r="Q105" s="146">
        <f t="shared" si="14"/>
        <v>0</v>
      </c>
      <c r="R105" s="146">
        <f t="shared" si="14"/>
        <v>0</v>
      </c>
      <c r="S105" s="146">
        <f t="shared" si="14"/>
        <v>0</v>
      </c>
      <c r="T105" s="146">
        <f t="shared" si="14"/>
        <v>0</v>
      </c>
      <c r="U105" s="146">
        <f t="shared" si="14"/>
        <v>0</v>
      </c>
      <c r="V105" s="146">
        <f t="shared" si="14"/>
        <v>5.2238725948235984</v>
      </c>
      <c r="W105" s="146">
        <f t="shared" si="14"/>
        <v>0</v>
      </c>
      <c r="X105" s="146">
        <f t="shared" si="14"/>
        <v>0</v>
      </c>
      <c r="Y105" s="146">
        <f t="shared" si="14"/>
        <v>0</v>
      </c>
      <c r="Z105" s="146">
        <f t="shared" si="14"/>
        <v>0</v>
      </c>
      <c r="AA105" s="146">
        <f t="shared" si="14"/>
        <v>0</v>
      </c>
      <c r="AB105" s="146">
        <f t="shared" si="14"/>
        <v>0</v>
      </c>
      <c r="AC105" s="146">
        <f t="shared" si="14"/>
        <v>0</v>
      </c>
      <c r="AD105" s="146">
        <f t="shared" si="14"/>
        <v>0</v>
      </c>
      <c r="AE105" s="146">
        <f t="shared" si="14"/>
        <v>0</v>
      </c>
      <c r="AF105" s="146">
        <f t="shared" si="14"/>
        <v>0</v>
      </c>
      <c r="AG105" s="146">
        <f t="shared" si="14"/>
        <v>0</v>
      </c>
      <c r="AH105" s="146">
        <f t="shared" si="14"/>
        <v>0</v>
      </c>
      <c r="AI105" s="122">
        <f t="shared" si="14"/>
        <v>0</v>
      </c>
    </row>
    <row r="106" spans="2:35" ht="15" customHeight="1" x14ac:dyDescent="0.3">
      <c r="B106" s="174"/>
      <c r="C106" s="170" t="s">
        <v>433</v>
      </c>
      <c r="D106" s="170"/>
      <c r="E106" s="145">
        <f t="shared" ref="E106:AI106" si="15">IF(E$84=$H$70,$H$79,0)</f>
        <v>0</v>
      </c>
      <c r="F106" s="146">
        <f t="shared" si="15"/>
        <v>0</v>
      </c>
      <c r="G106" s="146">
        <f t="shared" si="15"/>
        <v>0</v>
      </c>
      <c r="H106" s="146">
        <f t="shared" si="15"/>
        <v>0</v>
      </c>
      <c r="I106" s="146">
        <f t="shared" si="15"/>
        <v>0</v>
      </c>
      <c r="J106" s="146">
        <f t="shared" si="15"/>
        <v>0</v>
      </c>
      <c r="K106" s="146">
        <f t="shared" si="15"/>
        <v>0</v>
      </c>
      <c r="L106" s="146">
        <f t="shared" si="15"/>
        <v>0</v>
      </c>
      <c r="M106" s="146">
        <f t="shared" si="15"/>
        <v>0</v>
      </c>
      <c r="N106" s="146">
        <f t="shared" si="15"/>
        <v>0</v>
      </c>
      <c r="O106" s="146">
        <f t="shared" si="15"/>
        <v>0</v>
      </c>
      <c r="P106" s="146">
        <f t="shared" si="15"/>
        <v>0</v>
      </c>
      <c r="Q106" s="146">
        <f t="shared" si="15"/>
        <v>0</v>
      </c>
      <c r="R106" s="146">
        <f t="shared" si="15"/>
        <v>0</v>
      </c>
      <c r="S106" s="146">
        <f t="shared" si="15"/>
        <v>0</v>
      </c>
      <c r="T106" s="146">
        <f t="shared" si="15"/>
        <v>0</v>
      </c>
      <c r="U106" s="146">
        <f t="shared" si="15"/>
        <v>0</v>
      </c>
      <c r="V106" s="146">
        <f t="shared" si="15"/>
        <v>0</v>
      </c>
      <c r="W106" s="146">
        <f t="shared" si="15"/>
        <v>0</v>
      </c>
      <c r="X106" s="146">
        <f t="shared" si="15"/>
        <v>0</v>
      </c>
      <c r="Y106" s="146">
        <f t="shared" si="15"/>
        <v>0</v>
      </c>
      <c r="Z106" s="146">
        <f t="shared" si="15"/>
        <v>0</v>
      </c>
      <c r="AA106" s="146">
        <f t="shared" si="15"/>
        <v>0</v>
      </c>
      <c r="AB106" s="146">
        <f t="shared" si="15"/>
        <v>0</v>
      </c>
      <c r="AC106" s="146">
        <f t="shared" si="15"/>
        <v>0</v>
      </c>
      <c r="AD106" s="146">
        <f t="shared" si="15"/>
        <v>0</v>
      </c>
      <c r="AE106" s="146">
        <f t="shared" si="15"/>
        <v>0</v>
      </c>
      <c r="AF106" s="146">
        <f t="shared" si="15"/>
        <v>0</v>
      </c>
      <c r="AG106" s="146">
        <f t="shared" si="15"/>
        <v>0</v>
      </c>
      <c r="AH106" s="146">
        <f t="shared" si="15"/>
        <v>0</v>
      </c>
      <c r="AI106" s="122">
        <f t="shared" si="15"/>
        <v>0</v>
      </c>
    </row>
    <row r="107" spans="2:35" ht="15" customHeight="1" x14ac:dyDescent="0.3">
      <c r="B107" s="174"/>
      <c r="C107" s="170"/>
      <c r="D107" s="170"/>
      <c r="E107" s="145"/>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22"/>
    </row>
    <row r="108" spans="2:35" ht="15" customHeight="1" x14ac:dyDescent="0.3">
      <c r="B108" s="174"/>
      <c r="C108" s="170" t="s">
        <v>395</v>
      </c>
      <c r="D108" s="170"/>
      <c r="E108" s="147">
        <f>'ACC Inputs'!E4</f>
        <v>131.79844620666665</v>
      </c>
      <c r="F108" s="148">
        <f>'ACC Inputs'!F4</f>
        <v>141.7140826429482</v>
      </c>
      <c r="G108" s="148">
        <f>'ACC Inputs'!G4</f>
        <v>152.37570546045268</v>
      </c>
      <c r="H108" s="148">
        <f>'ACC Inputs'!H4</f>
        <v>163.83943770126069</v>
      </c>
      <c r="I108" s="148">
        <f>'ACC Inputs'!I4</f>
        <v>176.16562473098554</v>
      </c>
      <c r="J108" s="148">
        <f>'ACC Inputs'!J4</f>
        <v>189.4191518982467</v>
      </c>
      <c r="K108" s="148">
        <f>'ACC Inputs'!K4</f>
        <v>203.66978609272476</v>
      </c>
      <c r="L108" s="148">
        <f>'ACC Inputs'!L4</f>
        <v>218.99254299976741</v>
      </c>
      <c r="M108" s="148">
        <f>'ACC Inputs'!M4</f>
        <v>235.46808198478325</v>
      </c>
      <c r="N108" s="148">
        <f>'ACC Inputs'!N4</f>
        <v>253.1831306861051</v>
      </c>
      <c r="O108" s="148">
        <f>'ACC Inputs'!O4</f>
        <v>272.23094155138972</v>
      </c>
      <c r="P108" s="148">
        <f>'ACC Inputs'!P4</f>
        <v>292.71178272077259</v>
      </c>
      <c r="Q108" s="148">
        <f>'ACC Inputs'!Q4</f>
        <v>314.73346584079871</v>
      </c>
      <c r="R108" s="148">
        <f>'ACC Inputs'!R4</f>
        <v>338.41191358755475</v>
      </c>
      <c r="S108" s="148">
        <f>'ACC Inputs'!S4</f>
        <v>363.87176988645848</v>
      </c>
      <c r="T108" s="148">
        <f>'ACC Inputs'!T4</f>
        <v>391.24705604091633</v>
      </c>
      <c r="U108" s="148">
        <f>'ACC Inputs'!U4</f>
        <v>420.68187622372795</v>
      </c>
      <c r="V108" s="148">
        <f>'ACC Inputs'!V4</f>
        <v>452.3311760449597</v>
      </c>
      <c r="W108" s="148">
        <f>'ACC Inputs'!W4</f>
        <v>486.36155818940881</v>
      </c>
      <c r="X108" s="148">
        <f>'ACC Inputs'!X4</f>
        <v>522.95215941719187</v>
      </c>
      <c r="Y108" s="148">
        <f>'ACC Inputs'!Y4</f>
        <v>562.29559354401204</v>
      </c>
      <c r="Z108" s="148">
        <f>'ACC Inputs'!Z4</f>
        <v>604.5989653649732</v>
      </c>
      <c r="AA108" s="148">
        <f>'ACC Inputs'!AA4</f>
        <v>650.0849608592647</v>
      </c>
      <c r="AB108" s="148">
        <f>'ACC Inputs'!AB4</f>
        <v>698.99301941457657</v>
      </c>
      <c r="AC108" s="148">
        <f>'ACC Inputs'!AC4</f>
        <v>751.58059424186649</v>
      </c>
      <c r="AD108" s="148">
        <f>'ACC Inputs'!AD4</f>
        <v>808.12450761532966</v>
      </c>
      <c r="AE108" s="148">
        <f>'ACC Inputs'!AE4</f>
        <v>868.92240807158953</v>
      </c>
      <c r="AF108" s="148">
        <f>'ACC Inputs'!AF4</f>
        <v>934.29433723884199</v>
      </c>
      <c r="AG108" s="148">
        <f>'ACC Inputs'!AG4</f>
        <v>1004.5844145437777</v>
      </c>
      <c r="AH108" s="148">
        <f>'ACC Inputs'!AH4</f>
        <v>1080.162648664621</v>
      </c>
      <c r="AI108" s="129">
        <f>'ACC Inputs'!AI4</f>
        <v>1161.4268852658229</v>
      </c>
    </row>
    <row r="109" spans="2:35" ht="15" customHeight="1" x14ac:dyDescent="0.3">
      <c r="B109" s="174"/>
      <c r="C109" s="170" t="s">
        <v>446</v>
      </c>
      <c r="D109" s="170"/>
      <c r="E109" s="147">
        <f t="shared" ref="E109:AI109" si="16">E$108*E103</f>
        <v>0</v>
      </c>
      <c r="F109" s="148">
        <f t="shared" si="16"/>
        <v>0</v>
      </c>
      <c r="G109" s="148">
        <f t="shared" si="16"/>
        <v>0</v>
      </c>
      <c r="H109" s="148">
        <f t="shared" si="16"/>
        <v>67.421888337727353</v>
      </c>
      <c r="I109" s="148">
        <f t="shared" si="16"/>
        <v>72.494261737002375</v>
      </c>
      <c r="J109" s="148">
        <f t="shared" si="16"/>
        <v>77.948246695016195</v>
      </c>
      <c r="K109" s="148">
        <f t="shared" si="16"/>
        <v>83.812553121371238</v>
      </c>
      <c r="L109" s="148">
        <f t="shared" si="16"/>
        <v>90.118050867869059</v>
      </c>
      <c r="M109" s="148">
        <f t="shared" si="16"/>
        <v>96.89793222816175</v>
      </c>
      <c r="N109" s="148">
        <f t="shared" si="16"/>
        <v>104.18788666279377</v>
      </c>
      <c r="O109" s="148">
        <f t="shared" si="16"/>
        <v>112.02628866939129</v>
      </c>
      <c r="P109" s="148">
        <f t="shared" si="16"/>
        <v>120.45439978695181</v>
      </c>
      <c r="Q109" s="148">
        <f t="shared" si="16"/>
        <v>129.51658579759015</v>
      </c>
      <c r="R109" s="148">
        <f t="shared" si="16"/>
        <v>139.26055026909549</v>
      </c>
      <c r="S109" s="148">
        <f t="shared" si="16"/>
        <v>149.73758566767381</v>
      </c>
      <c r="T109" s="148">
        <f t="shared" si="16"/>
        <v>161.00284336273845</v>
      </c>
      <c r="U109" s="148">
        <f t="shared" si="16"/>
        <v>173.1156239450618</v>
      </c>
      <c r="V109" s="148">
        <f t="shared" si="16"/>
        <v>186.1396893865286</v>
      </c>
      <c r="W109" s="148">
        <f t="shared" si="16"/>
        <v>0</v>
      </c>
      <c r="X109" s="148">
        <f t="shared" si="16"/>
        <v>0</v>
      </c>
      <c r="Y109" s="148">
        <f t="shared" si="16"/>
        <v>0</v>
      </c>
      <c r="Z109" s="148">
        <f t="shared" si="16"/>
        <v>0</v>
      </c>
      <c r="AA109" s="148">
        <f t="shared" si="16"/>
        <v>0</v>
      </c>
      <c r="AB109" s="148">
        <f t="shared" si="16"/>
        <v>0</v>
      </c>
      <c r="AC109" s="148">
        <f t="shared" si="16"/>
        <v>0</v>
      </c>
      <c r="AD109" s="148">
        <f t="shared" si="16"/>
        <v>0</v>
      </c>
      <c r="AE109" s="148">
        <f t="shared" si="16"/>
        <v>0</v>
      </c>
      <c r="AF109" s="148">
        <f t="shared" si="16"/>
        <v>0</v>
      </c>
      <c r="AG109" s="148">
        <f t="shared" si="16"/>
        <v>0</v>
      </c>
      <c r="AH109" s="148">
        <f t="shared" si="16"/>
        <v>0</v>
      </c>
      <c r="AI109" s="129">
        <f t="shared" si="16"/>
        <v>0</v>
      </c>
    </row>
    <row r="110" spans="2:35" ht="15" customHeight="1" x14ac:dyDescent="0.3">
      <c r="B110" s="174"/>
      <c r="C110" s="170" t="s">
        <v>447</v>
      </c>
      <c r="D110" s="170"/>
      <c r="E110" s="147">
        <f t="shared" ref="E110:AI110" si="17">E$108*E104</f>
        <v>0</v>
      </c>
      <c r="F110" s="148">
        <f t="shared" si="17"/>
        <v>0</v>
      </c>
      <c r="G110" s="148">
        <f t="shared" si="17"/>
        <v>0</v>
      </c>
      <c r="H110" s="148">
        <f t="shared" si="17"/>
        <v>0</v>
      </c>
      <c r="I110" s="148">
        <f t="shared" si="17"/>
        <v>0</v>
      </c>
      <c r="J110" s="148">
        <f t="shared" si="17"/>
        <v>0</v>
      </c>
      <c r="K110" s="148">
        <f t="shared" si="17"/>
        <v>0</v>
      </c>
      <c r="L110" s="148">
        <f t="shared" si="17"/>
        <v>0</v>
      </c>
      <c r="M110" s="148">
        <f t="shared" si="17"/>
        <v>0</v>
      </c>
      <c r="N110" s="148">
        <f t="shared" si="17"/>
        <v>0</v>
      </c>
      <c r="O110" s="148">
        <f t="shared" si="17"/>
        <v>0</v>
      </c>
      <c r="P110" s="148">
        <f t="shared" si="17"/>
        <v>0</v>
      </c>
      <c r="Q110" s="148">
        <f t="shared" si="17"/>
        <v>0</v>
      </c>
      <c r="R110" s="148">
        <f t="shared" si="17"/>
        <v>0</v>
      </c>
      <c r="S110" s="148">
        <f t="shared" si="17"/>
        <v>0</v>
      </c>
      <c r="T110" s="148">
        <f t="shared" si="17"/>
        <v>0</v>
      </c>
      <c r="U110" s="148">
        <f t="shared" si="17"/>
        <v>0</v>
      </c>
      <c r="V110" s="148">
        <f t="shared" si="17"/>
        <v>0</v>
      </c>
      <c r="W110" s="148">
        <f t="shared" si="17"/>
        <v>0</v>
      </c>
      <c r="X110" s="148">
        <f t="shared" si="17"/>
        <v>0</v>
      </c>
      <c r="Y110" s="148">
        <f t="shared" si="17"/>
        <v>0</v>
      </c>
      <c r="Z110" s="148">
        <f t="shared" si="17"/>
        <v>0</v>
      </c>
      <c r="AA110" s="148">
        <f t="shared" si="17"/>
        <v>0</v>
      </c>
      <c r="AB110" s="148">
        <f t="shared" si="17"/>
        <v>0</v>
      </c>
      <c r="AC110" s="148">
        <f t="shared" si="17"/>
        <v>0</v>
      </c>
      <c r="AD110" s="148">
        <f t="shared" si="17"/>
        <v>0</v>
      </c>
      <c r="AE110" s="148">
        <f t="shared" si="17"/>
        <v>0</v>
      </c>
      <c r="AF110" s="148">
        <f t="shared" si="17"/>
        <v>0</v>
      </c>
      <c r="AG110" s="148">
        <f t="shared" si="17"/>
        <v>0</v>
      </c>
      <c r="AH110" s="148">
        <f t="shared" si="17"/>
        <v>0</v>
      </c>
      <c r="AI110" s="129">
        <f t="shared" si="17"/>
        <v>0</v>
      </c>
    </row>
    <row r="111" spans="2:35" ht="15" customHeight="1" x14ac:dyDescent="0.3">
      <c r="B111" s="174"/>
      <c r="C111" s="170" t="s">
        <v>448</v>
      </c>
      <c r="D111" s="170"/>
      <c r="E111" s="147">
        <f t="shared" ref="E111:AI111" si="18">E$108*E105</f>
        <v>0</v>
      </c>
      <c r="F111" s="148">
        <f t="shared" si="18"/>
        <v>0</v>
      </c>
      <c r="G111" s="148">
        <f t="shared" si="18"/>
        <v>0</v>
      </c>
      <c r="H111" s="148">
        <f t="shared" si="18"/>
        <v>0</v>
      </c>
      <c r="I111" s="148">
        <f t="shared" si="18"/>
        <v>0</v>
      </c>
      <c r="J111" s="148">
        <f t="shared" si="18"/>
        <v>0</v>
      </c>
      <c r="K111" s="148">
        <f t="shared" si="18"/>
        <v>0</v>
      </c>
      <c r="L111" s="148">
        <f t="shared" si="18"/>
        <v>0</v>
      </c>
      <c r="M111" s="148">
        <f t="shared" si="18"/>
        <v>0</v>
      </c>
      <c r="N111" s="148">
        <f t="shared" si="18"/>
        <v>0</v>
      </c>
      <c r="O111" s="148">
        <f t="shared" si="18"/>
        <v>0</v>
      </c>
      <c r="P111" s="148">
        <f t="shared" si="18"/>
        <v>0</v>
      </c>
      <c r="Q111" s="148">
        <f t="shared" si="18"/>
        <v>0</v>
      </c>
      <c r="R111" s="148">
        <f t="shared" si="18"/>
        <v>0</v>
      </c>
      <c r="S111" s="148">
        <f t="shared" si="18"/>
        <v>0</v>
      </c>
      <c r="T111" s="148">
        <f t="shared" si="18"/>
        <v>0</v>
      </c>
      <c r="U111" s="148">
        <f t="shared" si="18"/>
        <v>0</v>
      </c>
      <c r="V111" s="148">
        <f t="shared" si="18"/>
        <v>2362.9204343255938</v>
      </c>
      <c r="W111" s="148">
        <f t="shared" si="18"/>
        <v>0</v>
      </c>
      <c r="X111" s="148">
        <f t="shared" si="18"/>
        <v>0</v>
      </c>
      <c r="Y111" s="148">
        <f t="shared" si="18"/>
        <v>0</v>
      </c>
      <c r="Z111" s="148">
        <f t="shared" si="18"/>
        <v>0</v>
      </c>
      <c r="AA111" s="148">
        <f t="shared" si="18"/>
        <v>0</v>
      </c>
      <c r="AB111" s="148">
        <f t="shared" si="18"/>
        <v>0</v>
      </c>
      <c r="AC111" s="148">
        <f t="shared" si="18"/>
        <v>0</v>
      </c>
      <c r="AD111" s="148">
        <f t="shared" si="18"/>
        <v>0</v>
      </c>
      <c r="AE111" s="148">
        <f t="shared" si="18"/>
        <v>0</v>
      </c>
      <c r="AF111" s="148">
        <f t="shared" si="18"/>
        <v>0</v>
      </c>
      <c r="AG111" s="148">
        <f t="shared" si="18"/>
        <v>0</v>
      </c>
      <c r="AH111" s="148">
        <f t="shared" si="18"/>
        <v>0</v>
      </c>
      <c r="AI111" s="129">
        <f t="shared" si="18"/>
        <v>0</v>
      </c>
    </row>
    <row r="112" spans="2:35" ht="15" customHeight="1" x14ac:dyDescent="0.3">
      <c r="B112" s="174"/>
      <c r="C112" s="170" t="s">
        <v>449</v>
      </c>
      <c r="D112" s="170"/>
      <c r="E112" s="147">
        <f t="shared" ref="E112:AI112" si="19">E$108*E106</f>
        <v>0</v>
      </c>
      <c r="F112" s="148">
        <f t="shared" si="19"/>
        <v>0</v>
      </c>
      <c r="G112" s="148">
        <f t="shared" si="19"/>
        <v>0</v>
      </c>
      <c r="H112" s="148">
        <f t="shared" si="19"/>
        <v>0</v>
      </c>
      <c r="I112" s="148">
        <f t="shared" si="19"/>
        <v>0</v>
      </c>
      <c r="J112" s="148">
        <f t="shared" si="19"/>
        <v>0</v>
      </c>
      <c r="K112" s="148">
        <f t="shared" si="19"/>
        <v>0</v>
      </c>
      <c r="L112" s="148">
        <f t="shared" si="19"/>
        <v>0</v>
      </c>
      <c r="M112" s="148">
        <f t="shared" si="19"/>
        <v>0</v>
      </c>
      <c r="N112" s="148">
        <f t="shared" si="19"/>
        <v>0</v>
      </c>
      <c r="O112" s="148">
        <f t="shared" si="19"/>
        <v>0</v>
      </c>
      <c r="P112" s="148">
        <f t="shared" si="19"/>
        <v>0</v>
      </c>
      <c r="Q112" s="148">
        <f t="shared" si="19"/>
        <v>0</v>
      </c>
      <c r="R112" s="148">
        <f t="shared" si="19"/>
        <v>0</v>
      </c>
      <c r="S112" s="148">
        <f t="shared" si="19"/>
        <v>0</v>
      </c>
      <c r="T112" s="148">
        <f t="shared" si="19"/>
        <v>0</v>
      </c>
      <c r="U112" s="148">
        <f t="shared" si="19"/>
        <v>0</v>
      </c>
      <c r="V112" s="148">
        <f t="shared" si="19"/>
        <v>0</v>
      </c>
      <c r="W112" s="148">
        <f t="shared" si="19"/>
        <v>0</v>
      </c>
      <c r="X112" s="148">
        <f t="shared" si="19"/>
        <v>0</v>
      </c>
      <c r="Y112" s="148">
        <f t="shared" si="19"/>
        <v>0</v>
      </c>
      <c r="Z112" s="148">
        <f t="shared" si="19"/>
        <v>0</v>
      </c>
      <c r="AA112" s="148">
        <f t="shared" si="19"/>
        <v>0</v>
      </c>
      <c r="AB112" s="148">
        <f t="shared" si="19"/>
        <v>0</v>
      </c>
      <c r="AC112" s="148">
        <f t="shared" si="19"/>
        <v>0</v>
      </c>
      <c r="AD112" s="148">
        <f t="shared" si="19"/>
        <v>0</v>
      </c>
      <c r="AE112" s="148">
        <f t="shared" si="19"/>
        <v>0</v>
      </c>
      <c r="AF112" s="148">
        <f t="shared" si="19"/>
        <v>0</v>
      </c>
      <c r="AG112" s="148">
        <f t="shared" si="19"/>
        <v>0</v>
      </c>
      <c r="AH112" s="148">
        <f t="shared" si="19"/>
        <v>0</v>
      </c>
      <c r="AI112" s="129">
        <f t="shared" si="19"/>
        <v>0</v>
      </c>
    </row>
    <row r="113" spans="2:35" ht="15" customHeight="1" x14ac:dyDescent="0.3">
      <c r="B113" s="174"/>
      <c r="C113" s="126"/>
      <c r="D113" s="126"/>
      <c r="E113" s="147"/>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29"/>
    </row>
    <row r="114" spans="2:35" ht="15" customHeight="1" x14ac:dyDescent="0.3">
      <c r="B114" s="174"/>
      <c r="C114" s="1" t="s">
        <v>518</v>
      </c>
      <c r="D114" s="126"/>
      <c r="E114" s="147">
        <f>(E109/(1+$D$58)^(E$102-$D$69+0.5))</f>
        <v>0</v>
      </c>
      <c r="F114" s="148">
        <f t="shared" ref="F114:AI114" si="20">(F109/(1+$D$58)^(F$102-$D$69+0.5))</f>
        <v>0</v>
      </c>
      <c r="G114" s="148">
        <f t="shared" si="20"/>
        <v>0</v>
      </c>
      <c r="H114" s="148">
        <f t="shared" si="20"/>
        <v>65.075890018759793</v>
      </c>
      <c r="I114" s="148">
        <f t="shared" si="20"/>
        <v>65.187037585713156</v>
      </c>
      <c r="J114" s="148">
        <f t="shared" si="20"/>
        <v>65.298374989204078</v>
      </c>
      <c r="K114" s="148">
        <f t="shared" si="20"/>
        <v>65.409902553467361</v>
      </c>
      <c r="L114" s="148">
        <f t="shared" si="20"/>
        <v>65.521620603291609</v>
      </c>
      <c r="M114" s="148">
        <f t="shared" si="20"/>
        <v>65.633529464020171</v>
      </c>
      <c r="N114" s="148">
        <f t="shared" si="20"/>
        <v>65.745629461552042</v>
      </c>
      <c r="O114" s="148">
        <f t="shared" si="20"/>
        <v>65.857920922342842</v>
      </c>
      <c r="P114" s="148">
        <f t="shared" si="20"/>
        <v>65.970404173405782</v>
      </c>
      <c r="Q114" s="148">
        <f t="shared" si="20"/>
        <v>66.083079542312603</v>
      </c>
      <c r="R114" s="148">
        <f t="shared" si="20"/>
        <v>66.195947357194498</v>
      </c>
      <c r="S114" s="148">
        <f t="shared" si="20"/>
        <v>66.309007946743179</v>
      </c>
      <c r="T114" s="148">
        <f t="shared" si="20"/>
        <v>66.422261640211616</v>
      </c>
      <c r="U114" s="148">
        <f t="shared" si="20"/>
        <v>66.535708767415258</v>
      </c>
      <c r="V114" s="148">
        <f t="shared" si="20"/>
        <v>66.649349658732817</v>
      </c>
      <c r="W114" s="148">
        <f t="shared" si="20"/>
        <v>0</v>
      </c>
      <c r="X114" s="148">
        <f t="shared" si="20"/>
        <v>0</v>
      </c>
      <c r="Y114" s="148">
        <f t="shared" si="20"/>
        <v>0</v>
      </c>
      <c r="Z114" s="148">
        <f t="shared" si="20"/>
        <v>0</v>
      </c>
      <c r="AA114" s="148">
        <f t="shared" si="20"/>
        <v>0</v>
      </c>
      <c r="AB114" s="148">
        <f t="shared" si="20"/>
        <v>0</v>
      </c>
      <c r="AC114" s="148">
        <f t="shared" si="20"/>
        <v>0</v>
      </c>
      <c r="AD114" s="148">
        <f t="shared" si="20"/>
        <v>0</v>
      </c>
      <c r="AE114" s="148">
        <f t="shared" si="20"/>
        <v>0</v>
      </c>
      <c r="AF114" s="148">
        <f t="shared" si="20"/>
        <v>0</v>
      </c>
      <c r="AG114" s="148">
        <f t="shared" si="20"/>
        <v>0</v>
      </c>
      <c r="AH114" s="148">
        <f t="shared" si="20"/>
        <v>0</v>
      </c>
      <c r="AI114" s="129">
        <f t="shared" si="20"/>
        <v>0</v>
      </c>
    </row>
    <row r="115" spans="2:35" ht="15" customHeight="1" x14ac:dyDescent="0.3">
      <c r="B115" s="174"/>
      <c r="C115" s="170" t="s">
        <v>519</v>
      </c>
      <c r="D115" s="170"/>
      <c r="E115" s="147">
        <f>(E110/(1+$D$58)^(E$102-$D$69+0.5))</f>
        <v>0</v>
      </c>
      <c r="F115" s="148">
        <f t="shared" ref="F115:AI115" si="21">(F110/(1+$D$58)^(F$102-$D$69+0.5))</f>
        <v>0</v>
      </c>
      <c r="G115" s="148">
        <f t="shared" si="21"/>
        <v>0</v>
      </c>
      <c r="H115" s="148">
        <f t="shared" si="21"/>
        <v>0</v>
      </c>
      <c r="I115" s="148">
        <f t="shared" si="21"/>
        <v>0</v>
      </c>
      <c r="J115" s="148">
        <f t="shared" si="21"/>
        <v>0</v>
      </c>
      <c r="K115" s="148">
        <f t="shared" si="21"/>
        <v>0</v>
      </c>
      <c r="L115" s="148">
        <f t="shared" si="21"/>
        <v>0</v>
      </c>
      <c r="M115" s="148">
        <f t="shared" si="21"/>
        <v>0</v>
      </c>
      <c r="N115" s="148">
        <f t="shared" si="21"/>
        <v>0</v>
      </c>
      <c r="O115" s="148">
        <f t="shared" si="21"/>
        <v>0</v>
      </c>
      <c r="P115" s="148">
        <f t="shared" si="21"/>
        <v>0</v>
      </c>
      <c r="Q115" s="148">
        <f t="shared" si="21"/>
        <v>0</v>
      </c>
      <c r="R115" s="148">
        <f t="shared" si="21"/>
        <v>0</v>
      </c>
      <c r="S115" s="148">
        <f t="shared" si="21"/>
        <v>0</v>
      </c>
      <c r="T115" s="148">
        <f t="shared" si="21"/>
        <v>0</v>
      </c>
      <c r="U115" s="148">
        <f t="shared" si="21"/>
        <v>0</v>
      </c>
      <c r="V115" s="148">
        <f t="shared" si="21"/>
        <v>0</v>
      </c>
      <c r="W115" s="148">
        <f t="shared" si="21"/>
        <v>0</v>
      </c>
      <c r="X115" s="148">
        <f t="shared" si="21"/>
        <v>0</v>
      </c>
      <c r="Y115" s="148">
        <f t="shared" si="21"/>
        <v>0</v>
      </c>
      <c r="Z115" s="148">
        <f t="shared" si="21"/>
        <v>0</v>
      </c>
      <c r="AA115" s="148">
        <f t="shared" si="21"/>
        <v>0</v>
      </c>
      <c r="AB115" s="148">
        <f t="shared" si="21"/>
        <v>0</v>
      </c>
      <c r="AC115" s="148">
        <f t="shared" si="21"/>
        <v>0</v>
      </c>
      <c r="AD115" s="148">
        <f t="shared" si="21"/>
        <v>0</v>
      </c>
      <c r="AE115" s="148">
        <f t="shared" si="21"/>
        <v>0</v>
      </c>
      <c r="AF115" s="148">
        <f t="shared" si="21"/>
        <v>0</v>
      </c>
      <c r="AG115" s="148">
        <f t="shared" si="21"/>
        <v>0</v>
      </c>
      <c r="AH115" s="148">
        <f t="shared" si="21"/>
        <v>0</v>
      </c>
      <c r="AI115" s="129">
        <f t="shared" si="21"/>
        <v>0</v>
      </c>
    </row>
    <row r="116" spans="2:35" ht="15" customHeight="1" x14ac:dyDescent="0.3">
      <c r="B116" s="174"/>
      <c r="C116" s="170" t="s">
        <v>520</v>
      </c>
      <c r="D116" s="170"/>
      <c r="E116" s="147">
        <f>(E111/(1+$D$58)^(E$102-$D$69+0.5))</f>
        <v>0</v>
      </c>
      <c r="F116" s="148">
        <f t="shared" ref="F116:AI116" si="22">(F111/(1+$D$58)^(F$102-$D$69+0.5))</f>
        <v>0</v>
      </c>
      <c r="G116" s="148">
        <f t="shared" si="22"/>
        <v>0</v>
      </c>
      <c r="H116" s="148">
        <f t="shared" si="22"/>
        <v>0</v>
      </c>
      <c r="I116" s="148">
        <f t="shared" si="22"/>
        <v>0</v>
      </c>
      <c r="J116" s="148">
        <f t="shared" si="22"/>
        <v>0</v>
      </c>
      <c r="K116" s="148">
        <f t="shared" si="22"/>
        <v>0</v>
      </c>
      <c r="L116" s="148">
        <f t="shared" si="22"/>
        <v>0</v>
      </c>
      <c r="M116" s="148">
        <f t="shared" si="22"/>
        <v>0</v>
      </c>
      <c r="N116" s="148">
        <f t="shared" si="22"/>
        <v>0</v>
      </c>
      <c r="O116" s="148">
        <f t="shared" si="22"/>
        <v>0</v>
      </c>
      <c r="P116" s="148">
        <f t="shared" si="22"/>
        <v>0</v>
      </c>
      <c r="Q116" s="148">
        <f t="shared" si="22"/>
        <v>0</v>
      </c>
      <c r="R116" s="148">
        <f t="shared" si="22"/>
        <v>0</v>
      </c>
      <c r="S116" s="148">
        <f t="shared" si="22"/>
        <v>0</v>
      </c>
      <c r="T116" s="148">
        <f t="shared" si="22"/>
        <v>0</v>
      </c>
      <c r="U116" s="148">
        <f t="shared" si="22"/>
        <v>0</v>
      </c>
      <c r="V116" s="148">
        <f t="shared" si="22"/>
        <v>846.06948019614049</v>
      </c>
      <c r="W116" s="148">
        <f t="shared" si="22"/>
        <v>0</v>
      </c>
      <c r="X116" s="148">
        <f t="shared" si="22"/>
        <v>0</v>
      </c>
      <c r="Y116" s="148">
        <f t="shared" si="22"/>
        <v>0</v>
      </c>
      <c r="Z116" s="148">
        <f t="shared" si="22"/>
        <v>0</v>
      </c>
      <c r="AA116" s="148">
        <f t="shared" si="22"/>
        <v>0</v>
      </c>
      <c r="AB116" s="148">
        <f t="shared" si="22"/>
        <v>0</v>
      </c>
      <c r="AC116" s="148">
        <f t="shared" si="22"/>
        <v>0</v>
      </c>
      <c r="AD116" s="148">
        <f t="shared" si="22"/>
        <v>0</v>
      </c>
      <c r="AE116" s="148">
        <f t="shared" si="22"/>
        <v>0</v>
      </c>
      <c r="AF116" s="148">
        <f t="shared" si="22"/>
        <v>0</v>
      </c>
      <c r="AG116" s="148">
        <f t="shared" si="22"/>
        <v>0</v>
      </c>
      <c r="AH116" s="148">
        <f t="shared" si="22"/>
        <v>0</v>
      </c>
      <c r="AI116" s="129">
        <f t="shared" si="22"/>
        <v>0</v>
      </c>
    </row>
    <row r="117" spans="2:35" ht="15" customHeight="1" thickBot="1" x14ac:dyDescent="0.35">
      <c r="B117" s="175"/>
      <c r="C117" s="157" t="s">
        <v>521</v>
      </c>
      <c r="D117" s="157"/>
      <c r="E117" s="149">
        <f>(E112/(1+$D$58)^(E$102-$D$69+0.5))</f>
        <v>0</v>
      </c>
      <c r="F117" s="130">
        <f t="shared" ref="F117:AI117" si="23">(F112/(1+$D$58)^(F$102-$D$69+0.5))</f>
        <v>0</v>
      </c>
      <c r="G117" s="130">
        <f t="shared" si="23"/>
        <v>0</v>
      </c>
      <c r="H117" s="130">
        <f t="shared" si="23"/>
        <v>0</v>
      </c>
      <c r="I117" s="130">
        <f t="shared" si="23"/>
        <v>0</v>
      </c>
      <c r="J117" s="130">
        <f t="shared" si="23"/>
        <v>0</v>
      </c>
      <c r="K117" s="130">
        <f t="shared" si="23"/>
        <v>0</v>
      </c>
      <c r="L117" s="130">
        <f t="shared" si="23"/>
        <v>0</v>
      </c>
      <c r="M117" s="130">
        <f t="shared" si="23"/>
        <v>0</v>
      </c>
      <c r="N117" s="130">
        <f t="shared" si="23"/>
        <v>0</v>
      </c>
      <c r="O117" s="130">
        <f t="shared" si="23"/>
        <v>0</v>
      </c>
      <c r="P117" s="130">
        <f t="shared" si="23"/>
        <v>0</v>
      </c>
      <c r="Q117" s="130">
        <f t="shared" si="23"/>
        <v>0</v>
      </c>
      <c r="R117" s="130">
        <f t="shared" si="23"/>
        <v>0</v>
      </c>
      <c r="S117" s="130">
        <f t="shared" si="23"/>
        <v>0</v>
      </c>
      <c r="T117" s="130">
        <f t="shared" si="23"/>
        <v>0</v>
      </c>
      <c r="U117" s="130">
        <f t="shared" si="23"/>
        <v>0</v>
      </c>
      <c r="V117" s="130">
        <f t="shared" si="23"/>
        <v>0</v>
      </c>
      <c r="W117" s="130">
        <f t="shared" si="23"/>
        <v>0</v>
      </c>
      <c r="X117" s="130">
        <f t="shared" si="23"/>
        <v>0</v>
      </c>
      <c r="Y117" s="130">
        <f t="shared" si="23"/>
        <v>0</v>
      </c>
      <c r="Z117" s="130">
        <f t="shared" si="23"/>
        <v>0</v>
      </c>
      <c r="AA117" s="130">
        <f t="shared" si="23"/>
        <v>0</v>
      </c>
      <c r="AB117" s="130">
        <f t="shared" si="23"/>
        <v>0</v>
      </c>
      <c r="AC117" s="130">
        <f t="shared" si="23"/>
        <v>0</v>
      </c>
      <c r="AD117" s="130">
        <f t="shared" si="23"/>
        <v>0</v>
      </c>
      <c r="AE117" s="130">
        <f t="shared" si="23"/>
        <v>0</v>
      </c>
      <c r="AF117" s="130">
        <f t="shared" si="23"/>
        <v>0</v>
      </c>
      <c r="AG117" s="130">
        <f t="shared" si="23"/>
        <v>0</v>
      </c>
      <c r="AH117" s="130">
        <f t="shared" si="23"/>
        <v>0</v>
      </c>
      <c r="AI117" s="131">
        <f t="shared" si="23"/>
        <v>0</v>
      </c>
    </row>
    <row r="118" spans="2:35" ht="15" customHeight="1" x14ac:dyDescent="0.3">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row>
    <row r="119" spans="2:35" ht="15" customHeight="1" x14ac:dyDescent="0.3">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row>
    <row r="120" spans="2:35" ht="15" customHeight="1" x14ac:dyDescent="0.3">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row>
    <row r="121" spans="2:35" ht="15" customHeight="1" x14ac:dyDescent="0.3">
      <c r="E121" s="176" t="s">
        <v>438</v>
      </c>
      <c r="F121" s="176"/>
      <c r="G121" s="64"/>
      <c r="H121" s="64"/>
      <c r="I121" s="133"/>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row>
    <row r="122" spans="2:35" ht="15" customHeight="1" x14ac:dyDescent="0.3">
      <c r="E122" s="106" t="s">
        <v>427</v>
      </c>
      <c r="F122" s="106" t="s">
        <v>428</v>
      </c>
      <c r="G122" s="64"/>
      <c r="H122" s="64"/>
      <c r="I122" s="133"/>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row>
    <row r="123" spans="2:35" ht="15" customHeight="1" x14ac:dyDescent="0.3">
      <c r="C123" s="179" t="str">
        <f>_xlfn.CONCAT("NPV cost from new device annual refrigerant leakage during measure life (",'ACC Inputs'!$G$7,"$)")</f>
        <v>NPV cost from new device annual refrigerant leakage during measure life (2022$)</v>
      </c>
      <c r="D123" s="180"/>
      <c r="E123" s="110">
        <f>SUM(E96:AI96)*(1+'ACC Inputs'!I74)^('ACC Inputs'!$G$7 - $D$53)</f>
        <v>676.73810802330274</v>
      </c>
      <c r="F123" s="110">
        <f>SUM(E114:AI114)*(1+'ACC Inputs'!$I$7)^('ACC Inputs'!$G$7 - $D$53)</f>
        <v>930.91614903427705</v>
      </c>
      <c r="G123" s="64"/>
      <c r="H123" s="154"/>
      <c r="I123" s="125"/>
      <c r="J123" s="125"/>
      <c r="K123" s="125"/>
      <c r="L123" s="125"/>
      <c r="M123" s="125"/>
      <c r="N123" s="64"/>
      <c r="O123" s="64"/>
      <c r="P123" s="64"/>
      <c r="Q123" s="64"/>
      <c r="R123" s="64"/>
      <c r="S123" s="64"/>
      <c r="T123" s="64"/>
      <c r="U123" s="64"/>
      <c r="V123" s="64"/>
      <c r="W123" s="64"/>
      <c r="X123" s="64"/>
      <c r="Y123" s="64"/>
      <c r="Z123" s="64"/>
      <c r="AA123" s="64"/>
      <c r="AB123" s="64"/>
      <c r="AC123" s="64"/>
      <c r="AD123" s="64"/>
      <c r="AE123" s="64"/>
      <c r="AF123" s="64"/>
      <c r="AG123" s="64"/>
      <c r="AH123" s="64"/>
      <c r="AI123" s="64"/>
    </row>
    <row r="124" spans="2:35" ht="15" customHeight="1" x14ac:dyDescent="0.3">
      <c r="C124" s="179" t="str">
        <f>_xlfn.CONCAT("NPV cost from existing device annual refrigerant leakage during measure life (",'ACC Inputs'!$G$7,"$)")</f>
        <v>NPV cost from existing device annual refrigerant leakage during measure life (2022$)</v>
      </c>
      <c r="D124" s="180"/>
      <c r="E124" s="110">
        <f>SUM(E97:AI97)*(1+'ACC Inputs'!$I$7)^('ACC Inputs'!$G$7 - $D$53)</f>
        <v>0</v>
      </c>
      <c r="F124" s="110">
        <f>SUM(E115:AI115)*(1+'ACC Inputs'!$I$7)^('ACC Inputs'!$G$7 - $D$53)</f>
        <v>0</v>
      </c>
      <c r="G124" s="64"/>
      <c r="H124" s="125"/>
      <c r="I124" s="125"/>
      <c r="J124" s="125"/>
      <c r="K124" s="125"/>
      <c r="L124" s="125"/>
      <c r="M124" s="125"/>
      <c r="N124" s="64"/>
      <c r="O124" s="64"/>
      <c r="P124" s="64"/>
      <c r="Q124" s="64"/>
      <c r="R124" s="64"/>
      <c r="S124" s="64"/>
      <c r="T124" s="64"/>
      <c r="U124" s="64"/>
      <c r="V124" s="64"/>
      <c r="W124" s="64"/>
      <c r="X124" s="64"/>
      <c r="Y124" s="64"/>
      <c r="Z124" s="64"/>
      <c r="AA124" s="64"/>
      <c r="AB124" s="64"/>
      <c r="AC124" s="64"/>
      <c r="AD124" s="64"/>
      <c r="AE124" s="64"/>
      <c r="AF124" s="64"/>
      <c r="AG124" s="64"/>
      <c r="AH124" s="64"/>
      <c r="AI124" s="64"/>
    </row>
    <row r="125" spans="2:35" ht="15" customHeight="1" x14ac:dyDescent="0.3">
      <c r="C125" s="179" t="str">
        <f xml:space="preserve"> _xlfn.CONCAT("NPV cost from new device end-of-life refrigerant leakage* (",'ACC Inputs'!$G$7,"$)")</f>
        <v>NPV cost from new device end-of-life refrigerant leakage* (2022$)</v>
      </c>
      <c r="D125" s="180"/>
      <c r="E125" s="110">
        <f>SUM($D$72:$D$73)*SUM(E98:AI98)*(1+'ACC Inputs'!$I$7)^('ACC Inputs'!$G$7 - $D$53)</f>
        <v>546.1539352849951</v>
      </c>
      <c r="F125" s="110">
        <f>SUM($D$72:$D$73)*SUM(E116:AI116)*(1+'ACC Inputs'!$I$7)^('ACC Inputs'!$G$7 - $D$53)</f>
        <v>797.27016776743164</v>
      </c>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row>
    <row r="126" spans="2:35" ht="15" customHeight="1" x14ac:dyDescent="0.3">
      <c r="C126" s="179" t="str">
        <f xml:space="preserve"> _xlfn.CONCAT("NPV cost from existing device end-of-life refrigerant leakage* (",'ACC Inputs'!$G$7,"$)")</f>
        <v>NPV cost from existing device end-of-life refrigerant leakage* (2022$)</v>
      </c>
      <c r="D126" s="180"/>
      <c r="E126" s="110">
        <f>SUM($E$72:$E$73)*SUM(E99:AI99)*(1+'ACC Inputs'!$I$7)^('ACC Inputs'!$G$7 - $D$53)</f>
        <v>0</v>
      </c>
      <c r="F126" s="110">
        <f>SUM($E$72:$E$73)*SUM(E117:AI117)*(1+'ACC Inputs'!$I$7)^('ACC Inputs'!$G$7 - $D$53)</f>
        <v>0</v>
      </c>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row>
    <row r="127" spans="2:35" ht="15" customHeight="1" x14ac:dyDescent="0.3">
      <c r="C127" s="179" t="str">
        <f>_xlfn.CONCAT("Total NPV cost with respect to measure start year (",'ACC Inputs'!$G$7, "$)")</f>
        <v>Total NPV cost with respect to measure start year (2022$)</v>
      </c>
      <c r="D127" s="180"/>
      <c r="E127" s="111">
        <f>SUM(E123:E126)</f>
        <v>1222.8920433082978</v>
      </c>
      <c r="F127" s="111">
        <f>SUM(F123:F126)</f>
        <v>1728.1863168017087</v>
      </c>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row>
    <row r="128" spans="2:35" ht="15" customHeight="1" x14ac:dyDescent="0.3">
      <c r="C128" s="181" t="s">
        <v>439</v>
      </c>
      <c r="D128" s="181"/>
      <c r="E128" s="181"/>
      <c r="F128" s="181"/>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row>
    <row r="129" spans="3:35" ht="15" customHeight="1" x14ac:dyDescent="0.3">
      <c r="C129" s="182"/>
      <c r="D129" s="182"/>
      <c r="E129" s="182"/>
      <c r="F129" s="182"/>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row>
    <row r="131" spans="3:35" x14ac:dyDescent="0.3">
      <c r="E131" s="177" t="str">
        <f>_xlfn.CONCAT("Total NPV Avoided Cost (",'ACC Inputs'!$G$7,"$)")</f>
        <v>Total NPV Avoided Cost (2022$)</v>
      </c>
      <c r="F131" s="177"/>
    </row>
    <row r="132" spans="3:35" x14ac:dyDescent="0.3">
      <c r="E132" s="178">
        <f>F127-E127</f>
        <v>505.29427349341086</v>
      </c>
      <c r="F132" s="178"/>
    </row>
  </sheetData>
  <mergeCells count="52">
    <mergeCell ref="M28:M30"/>
    <mergeCell ref="C108:D108"/>
    <mergeCell ref="C109:D109"/>
    <mergeCell ref="C110:D110"/>
    <mergeCell ref="C111:D111"/>
    <mergeCell ref="C93:D93"/>
    <mergeCell ref="C94:D94"/>
    <mergeCell ref="G29:H29"/>
    <mergeCell ref="D56:H56"/>
    <mergeCell ref="D58:H58"/>
    <mergeCell ref="D60:H60"/>
    <mergeCell ref="C104:D104"/>
    <mergeCell ref="C105:D105"/>
    <mergeCell ref="E121:F121"/>
    <mergeCell ref="E131:F131"/>
    <mergeCell ref="E132:F132"/>
    <mergeCell ref="C127:D127"/>
    <mergeCell ref="C126:D126"/>
    <mergeCell ref="C125:D125"/>
    <mergeCell ref="C124:D124"/>
    <mergeCell ref="C123:D123"/>
    <mergeCell ref="C128:F129"/>
    <mergeCell ref="B103:B117"/>
    <mergeCell ref="B85:B99"/>
    <mergeCell ref="C97:D97"/>
    <mergeCell ref="C98:D98"/>
    <mergeCell ref="C99:D99"/>
    <mergeCell ref="C115:D115"/>
    <mergeCell ref="C116:D116"/>
    <mergeCell ref="C87:D87"/>
    <mergeCell ref="C88:D88"/>
    <mergeCell ref="C89:D89"/>
    <mergeCell ref="C90:D90"/>
    <mergeCell ref="C91:D91"/>
    <mergeCell ref="C92:D92"/>
    <mergeCell ref="C106:D106"/>
    <mergeCell ref="C107:D107"/>
    <mergeCell ref="C85:D85"/>
    <mergeCell ref="J26:K26"/>
    <mergeCell ref="C117:D117"/>
    <mergeCell ref="D53:H53"/>
    <mergeCell ref="D54:H54"/>
    <mergeCell ref="G31:G35"/>
    <mergeCell ref="H31:H35"/>
    <mergeCell ref="D57:H57"/>
    <mergeCell ref="D26:H26"/>
    <mergeCell ref="D31:D35"/>
    <mergeCell ref="E31:E35"/>
    <mergeCell ref="C86:D86"/>
    <mergeCell ref="D29:E29"/>
    <mergeCell ref="C103:D103"/>
    <mergeCell ref="C112:D112"/>
  </mergeCells>
  <conditionalFormatting sqref="D38">
    <cfRule type="expression" dxfId="17" priority="60">
      <formula>$D$37="ARB average"</formula>
    </cfRule>
  </conditionalFormatting>
  <conditionalFormatting sqref="D57">
    <cfRule type="expression" dxfId="16" priority="56">
      <formula>$D$56&lt;&gt;"User-specified"</formula>
    </cfRule>
  </conditionalFormatting>
  <conditionalFormatting sqref="D58">
    <cfRule type="colorScale" priority="55">
      <colorScale>
        <cfvo type="formula" val="($D$37=&quot;ARB average&quot;)"/>
        <cfvo type="formula" val="($D$37=&quot;User-specified&quot;)"/>
        <color theme="0" tint="-0.14999847407452621"/>
        <color theme="5" tint="0.79998168889431442"/>
      </colorScale>
    </cfRule>
  </conditionalFormatting>
  <conditionalFormatting sqref="C57">
    <cfRule type="expression" dxfId="15" priority="54">
      <formula>$D$56&lt;&gt;"User-specified"</formula>
    </cfRule>
  </conditionalFormatting>
  <conditionalFormatting sqref="G38">
    <cfRule type="expression" dxfId="14" priority="49">
      <formula>$G$37="ARB average"</formula>
    </cfRule>
  </conditionalFormatting>
  <conditionalFormatting sqref="H46">
    <cfRule type="expression" dxfId="13" priority="48">
      <formula>H$45="ARB average"</formula>
    </cfRule>
  </conditionalFormatting>
  <conditionalFormatting sqref="H38">
    <cfRule type="expression" dxfId="12" priority="45">
      <formula>$H$37="ARB average"</formula>
    </cfRule>
  </conditionalFormatting>
  <conditionalFormatting sqref="G47">
    <cfRule type="colorScale" priority="43">
      <colorScale>
        <cfvo type="formula" val="($D$37=&quot;ARB average&quot;)"/>
        <cfvo type="formula" val="($D$37=&quot;User-specified&quot;)"/>
        <color theme="0" tint="-0.14999847407452621"/>
        <color theme="5" tint="0.79998168889431442"/>
      </colorScale>
    </cfRule>
  </conditionalFormatting>
  <conditionalFormatting sqref="H47">
    <cfRule type="colorScale" priority="42">
      <colorScale>
        <cfvo type="formula" val="($D$37=&quot;ARB average&quot;)"/>
        <cfvo type="formula" val="($D$37=&quot;User-specified&quot;)"/>
        <color theme="0" tint="-0.14999847407452621"/>
        <color theme="5" tint="0.79998168889431442"/>
      </colorScale>
    </cfRule>
  </conditionalFormatting>
  <conditionalFormatting sqref="D53:D54">
    <cfRule type="colorScale" priority="41">
      <colorScale>
        <cfvo type="formula" val="($D$37=&quot;ARB average&quot;)"/>
        <cfvo type="formula" val="($D$37=&quot;User-specified&quot;)"/>
        <color theme="0" tint="-0.14999847407452621"/>
        <color theme="5" tint="0.79998168889431442"/>
      </colorScale>
    </cfRule>
  </conditionalFormatting>
  <conditionalFormatting sqref="G42:H42">
    <cfRule type="colorScale" priority="38">
      <colorScale>
        <cfvo type="formula" val="($D$37=&quot;ARB average&quot;)"/>
        <cfvo type="formula" val="($D$37=&quot;User-specified&quot;)"/>
        <color theme="0" tint="-0.14999847407452621"/>
        <color theme="5" tint="0.79998168889431442"/>
      </colorScale>
    </cfRule>
  </conditionalFormatting>
  <conditionalFormatting sqref="G43:H43">
    <cfRule type="colorScale" priority="37">
      <colorScale>
        <cfvo type="formula" val="($D$37=&quot;ARB average&quot;)"/>
        <cfvo type="formula" val="($D$37=&quot;User-specified&quot;)"/>
        <color theme="0" tint="-0.14999847407452621"/>
        <color theme="5" tint="0.79998168889431442"/>
      </colorScale>
    </cfRule>
  </conditionalFormatting>
  <conditionalFormatting sqref="E38">
    <cfRule type="expression" dxfId="11" priority="17">
      <formula>$E$37="ARB average"</formula>
    </cfRule>
  </conditionalFormatting>
  <conditionalFormatting sqref="E42">
    <cfRule type="colorScale" priority="11">
      <colorScale>
        <cfvo type="formula" val="($D$37=&quot;ARB average&quot;)"/>
        <cfvo type="formula" val="($D$37=&quot;User-specified&quot;)"/>
        <color theme="0" tint="-0.14999847407452621"/>
        <color theme="5" tint="0.79998168889431442"/>
      </colorScale>
    </cfRule>
  </conditionalFormatting>
  <conditionalFormatting sqref="E103:AI106 C103:D104 E90:AI94 E108:AI112 A86:A88 E96:AI99 E114:AI117 A85:XFD85 C86:XFD88">
    <cfRule type="expression" dxfId="10" priority="72">
      <formula>A$84&gt;$D$54</formula>
    </cfRule>
    <cfRule type="expression" dxfId="9" priority="73">
      <formula>A$84&gt;=$D$53</formula>
    </cfRule>
  </conditionalFormatting>
  <conditionalFormatting sqref="D50">
    <cfRule type="expression" dxfId="8" priority="7">
      <formula>D$49 &lt;&gt; "User Specified"</formula>
    </cfRule>
  </conditionalFormatting>
  <conditionalFormatting sqref="G50">
    <cfRule type="expression" dxfId="7" priority="6">
      <formula>G$49 &lt;&gt; "User Specified"</formula>
    </cfRule>
  </conditionalFormatting>
  <conditionalFormatting sqref="H50">
    <cfRule type="expression" dxfId="6" priority="15">
      <formula>H$49 &lt;&gt; "User Specified"</formula>
    </cfRule>
  </conditionalFormatting>
  <conditionalFormatting sqref="E50">
    <cfRule type="expression" dxfId="5" priority="16">
      <formula>E$49 &lt;&gt; "User Specified"</formula>
    </cfRule>
  </conditionalFormatting>
  <conditionalFormatting sqref="G46">
    <cfRule type="expression" dxfId="4" priority="5">
      <formula>G$45="ARB average"</formula>
    </cfRule>
  </conditionalFormatting>
  <conditionalFormatting sqref="D46">
    <cfRule type="expression" dxfId="3" priority="3">
      <formula>D$45="ARB average"</formula>
    </cfRule>
  </conditionalFormatting>
  <conditionalFormatting sqref="E46">
    <cfRule type="expression" dxfId="2" priority="4">
      <formula>E$45="ARB average"</formula>
    </cfRule>
  </conditionalFormatting>
  <dataValidations count="3">
    <dataValidation type="list" allowBlank="1" showInputMessage="1" showErrorMessage="1" sqref="D56" xr:uid="{30C8A789-9528-49A2-8254-AE185DEC432B}">
      <formula1>$O$47:$O$50</formula1>
    </dataValidation>
    <dataValidation type="list" allowBlank="1" showInputMessage="1" showErrorMessage="1" sqref="D60" xr:uid="{FA21C730-7E16-499D-9756-4FBCE334E528}">
      <formula1>"20-yr, 100-yr"</formula1>
    </dataValidation>
    <dataValidation type="list" allowBlank="1" showInputMessage="1" showErrorMessage="1" sqref="D37:E37 G37 D45:E45 G45" xr:uid="{BD4CC998-259A-4AE2-8167-A071A7845CF5}">
      <formula1>$N$33:$N$34</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0000000-000E-0000-0100-000008000000}">
            <xm:f>$D$26='ACC Inputs'!$B$7</xm:f>
            <x14:dxf>
              <font>
                <b val="0"/>
                <i/>
                <color theme="0"/>
              </font>
              <fill>
                <patternFill>
                  <bgColor theme="0"/>
                </patternFill>
              </fill>
              <border>
                <left/>
                <right/>
                <top/>
                <bottom/>
              </border>
            </x14:dxf>
          </x14:cfRule>
          <xm:sqref>E68:E79 H68:H79 E30:E50 H30:H50</xm:sqref>
        </x14:conditionalFormatting>
        <x14:conditionalFormatting xmlns:xm="http://schemas.microsoft.com/office/excel/2006/main">
          <x14:cfRule type="expression" priority="2" id="{00000000-000E-0000-0100-000007000000}">
            <xm:f>$D$26='ACC Inputs'!$B$7</xm:f>
            <x14:dxf>
              <font>
                <b val="0"/>
                <i/>
                <color theme="0"/>
              </font>
              <fill>
                <patternFill>
                  <bgColor theme="0"/>
                </patternFill>
              </fill>
              <border>
                <left style="thin">
                  <color auto="1"/>
                </left>
                <right/>
                <top/>
                <bottom/>
              </border>
            </x14:dxf>
          </x14:cfRule>
          <xm:sqref>E37 E39 H37 E41:E43 E45:E47 E49:E50 E31:E35 H31:H35 H41:H43 H39 H45:H47 H49:H50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5C3A25-1B2B-4EE0-AAC1-41CBB4802CBB}">
          <x14:formula1>
            <xm:f>'Refrigerant GWPs'!$A$2:$A$155</xm:f>
          </x14:formula1>
          <xm:sqref>G49 D49:E49</xm:sqref>
        </x14:dataValidation>
        <x14:dataValidation type="list" allowBlank="1" showInputMessage="1" showErrorMessage="1" xr:uid="{0480D1C2-914E-49FB-A80F-CF93F1FF92BF}">
          <x14:formula1>
            <xm:f>'Refrigerant Leakage'!$B$2:$B$41</xm:f>
          </x14:formula1>
          <xm:sqref>D31:D35 G31:G35</xm:sqref>
        </x14:dataValidation>
        <x14:dataValidation type="list" allowBlank="1" showInputMessage="1" showErrorMessage="1" xr:uid="{C47331CC-3636-45B9-B34E-3996D1172895}">
          <x14:formula1>
            <xm:f>'ACC Inputs'!$B$7:$B$8</xm:f>
          </x14:formula1>
          <xm:sqref>D26:H26</xm:sqref>
        </x14:dataValidation>
        <x14:dataValidation type="list" allowBlank="1" showInputMessage="1" showErrorMessage="1" xr:uid="{CDFF0C38-27E9-49AE-B912-4775CC6D30BC}">
          <x14:formula1>
            <xm:f>IF($D$26 &lt;&gt; "Normal Replacement", 'Refrigerant Leakage'!$B$2:$B$41, 'Refrigerant Leakage'!$B$41)</xm:f>
          </x14:formula1>
          <xm:sqref>E31:E35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22442-6A52-4346-8C34-DA99EE1ABA6A}">
  <sheetPr>
    <tabColor theme="0" tint="-0.14999847407452621"/>
  </sheetPr>
  <dimension ref="B2:AI12"/>
  <sheetViews>
    <sheetView workbookViewId="0">
      <selection activeCell="G7" sqref="G7"/>
    </sheetView>
  </sheetViews>
  <sheetFormatPr defaultColWidth="10.77734375" defaultRowHeight="14.4" x14ac:dyDescent="0.3"/>
  <cols>
    <col min="1" max="1" width="10.77734375" style="1"/>
    <col min="2" max="2" width="38.77734375" style="1" customWidth="1"/>
    <col min="3" max="3" width="17.5546875" style="1" customWidth="1"/>
    <col min="4" max="4" width="12.44140625" style="1" customWidth="1"/>
    <col min="5" max="5" width="13.5546875" style="1" customWidth="1"/>
    <col min="6" max="16384" width="10.77734375" style="1"/>
  </cols>
  <sheetData>
    <row r="2" spans="2:35" x14ac:dyDescent="0.3">
      <c r="B2" s="66"/>
      <c r="D2" s="66" t="s">
        <v>514</v>
      </c>
    </row>
    <row r="3" spans="2:35" x14ac:dyDescent="0.3">
      <c r="B3" s="66"/>
      <c r="D3" s="49">
        <v>2021</v>
      </c>
      <c r="E3" s="50">
        <v>2022</v>
      </c>
      <c r="F3" s="50">
        <v>2023</v>
      </c>
      <c r="G3" s="50">
        <v>2024</v>
      </c>
      <c r="H3" s="50">
        <v>2025</v>
      </c>
      <c r="I3" s="50">
        <v>2026</v>
      </c>
      <c r="J3" s="50">
        <v>2027</v>
      </c>
      <c r="K3" s="50">
        <v>2028</v>
      </c>
      <c r="L3" s="50">
        <v>2029</v>
      </c>
      <c r="M3" s="50">
        <v>2030</v>
      </c>
      <c r="N3" s="50">
        <v>2031</v>
      </c>
      <c r="O3" s="50">
        <v>2032</v>
      </c>
      <c r="P3" s="50">
        <v>2033</v>
      </c>
      <c r="Q3" s="50">
        <v>2034</v>
      </c>
      <c r="R3" s="50">
        <v>2035</v>
      </c>
      <c r="S3" s="50">
        <v>2036</v>
      </c>
      <c r="T3" s="50">
        <v>2037</v>
      </c>
      <c r="U3" s="50">
        <v>2038</v>
      </c>
      <c r="V3" s="50">
        <v>2039</v>
      </c>
      <c r="W3" s="50">
        <v>2040</v>
      </c>
      <c r="X3" s="50">
        <v>2041</v>
      </c>
      <c r="Y3" s="50">
        <v>2042</v>
      </c>
      <c r="Z3" s="50">
        <v>2043</v>
      </c>
      <c r="AA3" s="50">
        <v>2044</v>
      </c>
      <c r="AB3" s="50">
        <v>2045</v>
      </c>
      <c r="AC3" s="50">
        <v>2046</v>
      </c>
      <c r="AD3" s="50">
        <v>2047</v>
      </c>
      <c r="AE3" s="50">
        <v>2048</v>
      </c>
      <c r="AF3" s="50">
        <v>2049</v>
      </c>
      <c r="AG3" s="50">
        <v>2050</v>
      </c>
      <c r="AH3" s="50">
        <v>2051</v>
      </c>
      <c r="AI3" s="51">
        <v>2052</v>
      </c>
    </row>
    <row r="4" spans="2:35" ht="18" customHeight="1" x14ac:dyDescent="0.3">
      <c r="C4" s="52" t="s">
        <v>384</v>
      </c>
      <c r="D4" s="56">
        <v>122.57659999999998</v>
      </c>
      <c r="E4" s="57">
        <v>131.79844620666665</v>
      </c>
      <c r="F4" s="57">
        <v>141.7140826429482</v>
      </c>
      <c r="G4" s="57">
        <v>152.37570546045268</v>
      </c>
      <c r="H4" s="57">
        <v>163.83943770126069</v>
      </c>
      <c r="I4" s="57">
        <v>176.16562473098554</v>
      </c>
      <c r="J4" s="57">
        <v>189.4191518982467</v>
      </c>
      <c r="K4" s="57">
        <v>203.66978609272476</v>
      </c>
      <c r="L4" s="57">
        <v>218.99254299976741</v>
      </c>
      <c r="M4" s="57">
        <v>235.46808198478325</v>
      </c>
      <c r="N4" s="57">
        <v>253.1831306861051</v>
      </c>
      <c r="O4" s="57">
        <v>272.23094155138972</v>
      </c>
      <c r="P4" s="57">
        <v>292.71178272077259</v>
      </c>
      <c r="Q4" s="57">
        <v>314.73346584079871</v>
      </c>
      <c r="R4" s="57">
        <v>338.41191358755475</v>
      </c>
      <c r="S4" s="57">
        <v>363.87176988645848</v>
      </c>
      <c r="T4" s="57">
        <v>391.24705604091633</v>
      </c>
      <c r="U4" s="57">
        <v>420.68187622372795</v>
      </c>
      <c r="V4" s="57">
        <v>452.3311760449597</v>
      </c>
      <c r="W4" s="57">
        <v>486.36155818940881</v>
      </c>
      <c r="X4" s="57">
        <v>522.95215941719187</v>
      </c>
      <c r="Y4" s="57">
        <v>562.29559354401204</v>
      </c>
      <c r="Z4" s="57">
        <v>604.5989653649732</v>
      </c>
      <c r="AA4" s="57">
        <v>650.0849608592647</v>
      </c>
      <c r="AB4" s="57">
        <v>698.99301941457657</v>
      </c>
      <c r="AC4" s="57">
        <v>751.58059424186649</v>
      </c>
      <c r="AD4" s="57">
        <v>808.12450761532966</v>
      </c>
      <c r="AE4" s="57">
        <v>868.92240807158953</v>
      </c>
      <c r="AF4" s="57">
        <v>934.29433723884199</v>
      </c>
      <c r="AG4" s="58">
        <v>1004.5844145437777</v>
      </c>
      <c r="AH4" s="58">
        <v>1080.162648664621</v>
      </c>
      <c r="AI4" s="59">
        <v>1161.4268852658229</v>
      </c>
    </row>
    <row r="5" spans="2:35" ht="23.1" customHeight="1" x14ac:dyDescent="0.3"/>
    <row r="6" spans="2:35" ht="43.2" x14ac:dyDescent="0.3">
      <c r="B6" s="99" t="s">
        <v>422</v>
      </c>
      <c r="E6" s="60" t="s">
        <v>386</v>
      </c>
      <c r="G6" s="150" t="s">
        <v>523</v>
      </c>
      <c r="I6" s="152" t="s">
        <v>524</v>
      </c>
    </row>
    <row r="7" spans="2:35" x14ac:dyDescent="0.3">
      <c r="B7" s="97" t="s">
        <v>451</v>
      </c>
      <c r="D7" s="1" t="s">
        <v>414</v>
      </c>
      <c r="E7" s="53">
        <v>7.3400000000000007E-2</v>
      </c>
      <c r="G7" s="151">
        <v>2022</v>
      </c>
      <c r="I7" s="153">
        <v>0.02</v>
      </c>
    </row>
    <row r="8" spans="2:35" x14ac:dyDescent="0.3">
      <c r="B8" s="98" t="s">
        <v>423</v>
      </c>
      <c r="D8" s="1" t="s">
        <v>412</v>
      </c>
      <c r="E8" s="53">
        <v>7.6799999999999993E-2</v>
      </c>
    </row>
    <row r="9" spans="2:35" x14ac:dyDescent="0.3">
      <c r="B9" s="132"/>
      <c r="D9" s="1" t="s">
        <v>413</v>
      </c>
      <c r="E9" s="53">
        <v>7.5499999999999998E-2</v>
      </c>
    </row>
    <row r="12" spans="2:35" x14ac:dyDescent="0.3">
      <c r="B12" s="6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BF21-17A6-5B4B-98B7-48E2F05EDD4F}">
  <sheetPr codeName="Sheet16">
    <tabColor theme="0" tint="-0.14999847407452621"/>
  </sheetPr>
  <dimension ref="A1:I41"/>
  <sheetViews>
    <sheetView workbookViewId="0">
      <selection activeCell="D26" sqref="D26"/>
    </sheetView>
  </sheetViews>
  <sheetFormatPr defaultColWidth="11.44140625" defaultRowHeight="14.4" x14ac:dyDescent="0.3"/>
  <cols>
    <col min="1" max="1" width="27.44140625" bestFit="1" customWidth="1"/>
    <col min="2" max="2" width="48.44140625" customWidth="1"/>
    <col min="3" max="3" width="18.44140625" bestFit="1" customWidth="1"/>
    <col min="4" max="4" width="18.44140625" customWidth="1"/>
    <col min="5" max="5" width="19.44140625" customWidth="1"/>
    <col min="6" max="6" width="27.44140625" customWidth="1"/>
    <col min="7" max="7" width="29.44140625" customWidth="1"/>
    <col min="8" max="9" width="14.44140625" customWidth="1"/>
  </cols>
  <sheetData>
    <row r="1" spans="1:9" ht="72" x14ac:dyDescent="0.3">
      <c r="A1" s="3" t="s">
        <v>7</v>
      </c>
      <c r="B1" s="3" t="s">
        <v>6</v>
      </c>
      <c r="C1" s="3" t="s">
        <v>8</v>
      </c>
      <c r="D1" s="3" t="s">
        <v>9</v>
      </c>
      <c r="E1" s="3" t="s">
        <v>10</v>
      </c>
      <c r="F1" s="3" t="s">
        <v>11</v>
      </c>
      <c r="G1" s="3" t="s">
        <v>12</v>
      </c>
      <c r="H1" s="3" t="s">
        <v>13</v>
      </c>
      <c r="I1" s="3" t="s">
        <v>14</v>
      </c>
    </row>
    <row r="2" spans="1:9" x14ac:dyDescent="0.3">
      <c r="A2" s="192" t="s">
        <v>15</v>
      </c>
      <c r="B2" s="4" t="s">
        <v>16</v>
      </c>
      <c r="C2" s="5">
        <v>15</v>
      </c>
      <c r="D2" s="6">
        <v>3352</v>
      </c>
      <c r="E2" s="7">
        <v>0.24199999999999999</v>
      </c>
      <c r="F2" s="7">
        <v>0.2</v>
      </c>
      <c r="G2" s="5">
        <v>0</v>
      </c>
      <c r="H2" s="8">
        <f>(E2*C2+F2*(1-E2*G2))</f>
        <v>3.83</v>
      </c>
      <c r="I2" s="9">
        <f>H2*D2</f>
        <v>12838.16</v>
      </c>
    </row>
    <row r="3" spans="1:9" x14ac:dyDescent="0.3">
      <c r="A3" s="192"/>
      <c r="B3" s="4" t="s">
        <v>17</v>
      </c>
      <c r="C3" s="5">
        <v>15</v>
      </c>
      <c r="D3" s="6">
        <v>684</v>
      </c>
      <c r="E3" s="7">
        <v>0.22900000000000001</v>
      </c>
      <c r="F3" s="7">
        <v>0.2</v>
      </c>
      <c r="G3" s="5">
        <v>0</v>
      </c>
      <c r="H3" s="8">
        <f t="shared" ref="H3:H40" si="0">(E3*C3+F3*(1-E3*G3))</f>
        <v>3.6350000000000002</v>
      </c>
      <c r="I3" s="9">
        <f t="shared" ref="I3:I40" si="1">H3*D3</f>
        <v>2486.34</v>
      </c>
    </row>
    <row r="4" spans="1:9" x14ac:dyDescent="0.3">
      <c r="A4" s="192"/>
      <c r="B4" s="4" t="s">
        <v>18</v>
      </c>
      <c r="C4" s="5">
        <v>20</v>
      </c>
      <c r="D4" s="6">
        <v>103</v>
      </c>
      <c r="E4" s="7">
        <v>0.156</v>
      </c>
      <c r="F4" s="10">
        <v>0.2</v>
      </c>
      <c r="G4" s="5">
        <v>0</v>
      </c>
      <c r="H4" s="8">
        <f t="shared" si="0"/>
        <v>3.3200000000000003</v>
      </c>
      <c r="I4" s="9">
        <f t="shared" si="1"/>
        <v>341.96000000000004</v>
      </c>
    </row>
    <row r="5" spans="1:9" x14ac:dyDescent="0.3">
      <c r="A5" s="192"/>
      <c r="B5" s="4" t="s">
        <v>19</v>
      </c>
      <c r="C5" s="5">
        <v>14</v>
      </c>
      <c r="D5" s="6">
        <v>23</v>
      </c>
      <c r="E5" s="7">
        <v>0.15</v>
      </c>
      <c r="F5" s="7">
        <v>0.34</v>
      </c>
      <c r="G5" s="5">
        <v>0</v>
      </c>
      <c r="H5" s="8">
        <f t="shared" si="0"/>
        <v>2.44</v>
      </c>
      <c r="I5" s="9">
        <f t="shared" si="1"/>
        <v>56.12</v>
      </c>
    </row>
    <row r="6" spans="1:9" x14ac:dyDescent="0.3">
      <c r="A6" s="192"/>
      <c r="B6" s="4" t="s">
        <v>20</v>
      </c>
      <c r="C6" s="5">
        <v>15</v>
      </c>
      <c r="D6" s="6">
        <v>3352</v>
      </c>
      <c r="E6" s="7">
        <v>0.24199999999999999</v>
      </c>
      <c r="F6" s="7">
        <v>0.2</v>
      </c>
      <c r="G6" s="5">
        <v>0</v>
      </c>
      <c r="H6" s="8">
        <f t="shared" si="0"/>
        <v>3.83</v>
      </c>
      <c r="I6" s="9">
        <f t="shared" si="1"/>
        <v>12838.16</v>
      </c>
    </row>
    <row r="7" spans="1:9" x14ac:dyDescent="0.3">
      <c r="A7" s="192"/>
      <c r="B7" s="4" t="s">
        <v>21</v>
      </c>
      <c r="C7" s="5">
        <v>15</v>
      </c>
      <c r="D7" s="6">
        <v>684</v>
      </c>
      <c r="E7" s="7">
        <v>0.22900000000000001</v>
      </c>
      <c r="F7" s="7">
        <v>0.2</v>
      </c>
      <c r="G7" s="5">
        <v>0</v>
      </c>
      <c r="H7" s="8">
        <f t="shared" si="0"/>
        <v>3.6350000000000002</v>
      </c>
      <c r="I7" s="9">
        <f t="shared" si="1"/>
        <v>2486.34</v>
      </c>
    </row>
    <row r="8" spans="1:9" x14ac:dyDescent="0.3">
      <c r="A8" s="192"/>
      <c r="B8" s="4" t="s">
        <v>22</v>
      </c>
      <c r="C8" s="5">
        <v>20</v>
      </c>
      <c r="D8" s="6">
        <v>103</v>
      </c>
      <c r="E8" s="7">
        <v>0.156</v>
      </c>
      <c r="F8" s="7">
        <v>0.2</v>
      </c>
      <c r="G8" s="5">
        <v>0</v>
      </c>
      <c r="H8" s="8">
        <f t="shared" si="0"/>
        <v>3.3200000000000003</v>
      </c>
      <c r="I8" s="9">
        <f t="shared" si="1"/>
        <v>341.96000000000004</v>
      </c>
    </row>
    <row r="9" spans="1:9" x14ac:dyDescent="0.3">
      <c r="A9" s="192"/>
      <c r="B9" s="4" t="s">
        <v>23</v>
      </c>
      <c r="C9" s="5">
        <v>14</v>
      </c>
      <c r="D9" s="6">
        <v>23</v>
      </c>
      <c r="E9" s="7">
        <v>0.15</v>
      </c>
      <c r="F9" s="7">
        <v>0.34</v>
      </c>
      <c r="G9" s="5">
        <v>0</v>
      </c>
      <c r="H9" s="8">
        <f t="shared" si="0"/>
        <v>2.44</v>
      </c>
      <c r="I9" s="9">
        <f t="shared" si="1"/>
        <v>56.12</v>
      </c>
    </row>
    <row r="10" spans="1:9" x14ac:dyDescent="0.3">
      <c r="A10" s="192"/>
      <c r="B10" s="4" t="s">
        <v>24</v>
      </c>
      <c r="C10" s="5">
        <v>20</v>
      </c>
      <c r="D10" s="6">
        <v>7252</v>
      </c>
      <c r="E10" s="7">
        <v>0.14799999999999999</v>
      </c>
      <c r="F10" s="7">
        <v>0.2</v>
      </c>
      <c r="G10" s="5">
        <v>0</v>
      </c>
      <c r="H10" s="8">
        <f t="shared" si="0"/>
        <v>3.16</v>
      </c>
      <c r="I10" s="9">
        <f t="shared" si="1"/>
        <v>22916.32</v>
      </c>
    </row>
    <row r="11" spans="1:9" x14ac:dyDescent="0.3">
      <c r="A11" s="192"/>
      <c r="B11" s="4" t="s">
        <v>25</v>
      </c>
      <c r="C11" s="5">
        <v>20</v>
      </c>
      <c r="D11" s="6">
        <v>552</v>
      </c>
      <c r="E11" s="7">
        <v>0.10299999999999999</v>
      </c>
      <c r="F11" s="7">
        <v>0.2</v>
      </c>
      <c r="G11" s="5">
        <v>0</v>
      </c>
      <c r="H11" s="8">
        <f t="shared" si="0"/>
        <v>2.2600000000000002</v>
      </c>
      <c r="I11" s="9">
        <f t="shared" si="1"/>
        <v>1247.5200000000002</v>
      </c>
    </row>
    <row r="12" spans="1:9" x14ac:dyDescent="0.3">
      <c r="A12" s="192"/>
      <c r="B12" s="4" t="s">
        <v>26</v>
      </c>
      <c r="C12" s="5">
        <v>20</v>
      </c>
      <c r="D12" s="6">
        <v>113</v>
      </c>
      <c r="E12" s="7">
        <v>0.04</v>
      </c>
      <c r="F12" s="7">
        <v>0.2</v>
      </c>
      <c r="G12" s="5">
        <v>0</v>
      </c>
      <c r="H12" s="8">
        <f t="shared" si="0"/>
        <v>1</v>
      </c>
      <c r="I12" s="9">
        <f t="shared" si="1"/>
        <v>113</v>
      </c>
    </row>
    <row r="13" spans="1:9" x14ac:dyDescent="0.3">
      <c r="A13" s="192"/>
      <c r="B13" s="4" t="s">
        <v>27</v>
      </c>
      <c r="C13" s="5">
        <v>20</v>
      </c>
      <c r="D13" s="6">
        <v>5873</v>
      </c>
      <c r="E13" s="7">
        <v>0.123</v>
      </c>
      <c r="F13" s="7">
        <v>0.2</v>
      </c>
      <c r="G13" s="5">
        <v>0</v>
      </c>
      <c r="H13" s="8">
        <f t="shared" si="0"/>
        <v>2.66</v>
      </c>
      <c r="I13" s="9">
        <f t="shared" si="1"/>
        <v>15622.18</v>
      </c>
    </row>
    <row r="14" spans="1:9" x14ac:dyDescent="0.3">
      <c r="A14" s="192"/>
      <c r="B14" s="4" t="s">
        <v>28</v>
      </c>
      <c r="C14" s="5">
        <v>20</v>
      </c>
      <c r="D14" s="6">
        <v>660</v>
      </c>
      <c r="E14" s="7">
        <v>0.125</v>
      </c>
      <c r="F14" s="7">
        <v>0.2</v>
      </c>
      <c r="G14" s="5">
        <v>0</v>
      </c>
      <c r="H14" s="8">
        <f t="shared" si="0"/>
        <v>2.7</v>
      </c>
      <c r="I14" s="9">
        <f t="shared" si="1"/>
        <v>1782.0000000000002</v>
      </c>
    </row>
    <row r="15" spans="1:9" x14ac:dyDescent="0.3">
      <c r="A15" s="192"/>
      <c r="B15" s="4" t="s">
        <v>29</v>
      </c>
      <c r="C15" s="5">
        <v>20</v>
      </c>
      <c r="D15" s="6">
        <v>104</v>
      </c>
      <c r="E15" s="7">
        <v>9.0999999999999998E-2</v>
      </c>
      <c r="F15" s="7">
        <v>0.2</v>
      </c>
      <c r="G15" s="5">
        <v>0</v>
      </c>
      <c r="H15" s="8">
        <f t="shared" si="0"/>
        <v>2.02</v>
      </c>
      <c r="I15" s="9">
        <f t="shared" si="1"/>
        <v>210.08</v>
      </c>
    </row>
    <row r="16" spans="1:9" x14ac:dyDescent="0.3">
      <c r="A16" s="192"/>
      <c r="B16" s="4" t="s">
        <v>30</v>
      </c>
      <c r="C16" s="5">
        <v>20</v>
      </c>
      <c r="D16" s="11">
        <v>1.0229999999999999</v>
      </c>
      <c r="E16" s="7">
        <v>0.01</v>
      </c>
      <c r="F16" s="7">
        <v>0.98499999999999999</v>
      </c>
      <c r="G16" s="5">
        <v>10</v>
      </c>
      <c r="H16" s="8">
        <f t="shared" si="0"/>
        <v>1.0865</v>
      </c>
      <c r="I16" s="9">
        <f t="shared" si="1"/>
        <v>1.1114895</v>
      </c>
    </row>
    <row r="17" spans="1:9" x14ac:dyDescent="0.3">
      <c r="A17" s="192"/>
      <c r="B17" s="4" t="s">
        <v>31</v>
      </c>
      <c r="C17" s="5">
        <v>12</v>
      </c>
      <c r="D17" s="12">
        <v>3</v>
      </c>
      <c r="E17" s="7">
        <v>0.01</v>
      </c>
      <c r="F17" s="7">
        <v>0.98499999999999999</v>
      </c>
      <c r="G17" s="5">
        <v>6</v>
      </c>
      <c r="H17" s="8">
        <f t="shared" si="0"/>
        <v>1.0459000000000001</v>
      </c>
      <c r="I17" s="9">
        <f t="shared" si="1"/>
        <v>3.1377000000000002</v>
      </c>
    </row>
    <row r="18" spans="1:9" x14ac:dyDescent="0.3">
      <c r="A18" s="192"/>
      <c r="B18" s="4" t="s">
        <v>32</v>
      </c>
      <c r="C18" s="5">
        <v>5</v>
      </c>
      <c r="D18" s="12">
        <v>3.31</v>
      </c>
      <c r="E18" s="7">
        <v>5.0000000000000001E-3</v>
      </c>
      <c r="F18" s="7">
        <v>0.98499999999999999</v>
      </c>
      <c r="G18" s="5">
        <v>5</v>
      </c>
      <c r="H18" s="8">
        <f t="shared" si="0"/>
        <v>0.985375</v>
      </c>
      <c r="I18" s="9">
        <f t="shared" si="1"/>
        <v>3.2615912499999999</v>
      </c>
    </row>
    <row r="19" spans="1:9" x14ac:dyDescent="0.3">
      <c r="A19" s="192"/>
      <c r="B19" s="4" t="s">
        <v>33</v>
      </c>
      <c r="C19" s="5">
        <v>14</v>
      </c>
      <c r="D19" s="13">
        <v>0.25</v>
      </c>
      <c r="E19" s="7">
        <v>0.01</v>
      </c>
      <c r="F19" s="7">
        <v>0.98499999999999999</v>
      </c>
      <c r="G19" s="5">
        <v>14</v>
      </c>
      <c r="H19" s="8">
        <f t="shared" si="0"/>
        <v>0.98709999999999998</v>
      </c>
      <c r="I19" s="9">
        <f t="shared" si="1"/>
        <v>0.24677499999999999</v>
      </c>
    </row>
    <row r="20" spans="1:9" x14ac:dyDescent="0.3">
      <c r="A20" s="192"/>
      <c r="B20" s="4" t="s">
        <v>34</v>
      </c>
      <c r="C20" s="5">
        <v>15</v>
      </c>
      <c r="D20" s="13">
        <v>0.63</v>
      </c>
      <c r="E20" s="7">
        <v>0.01</v>
      </c>
      <c r="F20" s="7">
        <v>0.98499999999999999</v>
      </c>
      <c r="G20" s="5">
        <v>15</v>
      </c>
      <c r="H20" s="8">
        <f t="shared" si="0"/>
        <v>0.98724999999999996</v>
      </c>
      <c r="I20" s="9">
        <f t="shared" si="1"/>
        <v>0.62196750000000001</v>
      </c>
    </row>
    <row r="21" spans="1:9" x14ac:dyDescent="0.3">
      <c r="A21" s="192"/>
      <c r="B21" s="4" t="s">
        <v>35</v>
      </c>
      <c r="C21" s="5">
        <v>14</v>
      </c>
      <c r="D21" s="13">
        <v>2.4</v>
      </c>
      <c r="E21" s="7">
        <v>0.01</v>
      </c>
      <c r="F21" s="7">
        <v>1</v>
      </c>
      <c r="G21" s="5">
        <v>14</v>
      </c>
      <c r="H21" s="8">
        <f t="shared" si="0"/>
        <v>1</v>
      </c>
      <c r="I21" s="9">
        <f t="shared" si="1"/>
        <v>2.4</v>
      </c>
    </row>
    <row r="22" spans="1:9" x14ac:dyDescent="0.3">
      <c r="A22" s="192"/>
      <c r="B22" s="4" t="s">
        <v>36</v>
      </c>
      <c r="C22" s="5">
        <v>14</v>
      </c>
      <c r="D22" s="11">
        <v>0.88200000000000001</v>
      </c>
      <c r="E22" s="7">
        <v>0.01</v>
      </c>
      <c r="F22" s="7">
        <v>1</v>
      </c>
      <c r="G22" s="5">
        <v>14</v>
      </c>
      <c r="H22" s="8">
        <f t="shared" si="0"/>
        <v>1</v>
      </c>
      <c r="I22" s="9">
        <f t="shared" si="1"/>
        <v>0.88200000000000001</v>
      </c>
    </row>
    <row r="23" spans="1:9" x14ac:dyDescent="0.3">
      <c r="A23" s="192"/>
      <c r="B23" s="4" t="s">
        <v>37</v>
      </c>
      <c r="C23" s="5">
        <v>14</v>
      </c>
      <c r="D23" s="11">
        <v>0.34200000000000003</v>
      </c>
      <c r="E23" s="7">
        <v>0.01</v>
      </c>
      <c r="F23" s="7">
        <v>0.77</v>
      </c>
      <c r="G23" s="5">
        <v>14</v>
      </c>
      <c r="H23" s="8">
        <f t="shared" si="0"/>
        <v>0.80220000000000002</v>
      </c>
      <c r="I23" s="9">
        <f t="shared" si="1"/>
        <v>0.27435240000000005</v>
      </c>
    </row>
    <row r="24" spans="1:9" x14ac:dyDescent="0.3">
      <c r="A24" s="192" t="s">
        <v>38</v>
      </c>
      <c r="B24" s="4" t="s">
        <v>39</v>
      </c>
      <c r="C24" s="5">
        <v>20</v>
      </c>
      <c r="D24" s="6">
        <v>3978</v>
      </c>
      <c r="E24" s="7">
        <v>2.3E-2</v>
      </c>
      <c r="F24" s="7">
        <v>0.2</v>
      </c>
      <c r="G24" s="5">
        <v>0</v>
      </c>
      <c r="H24" s="8">
        <f t="shared" si="0"/>
        <v>0.65999999999999992</v>
      </c>
      <c r="I24" s="9">
        <f t="shared" si="1"/>
        <v>2625.4799999999996</v>
      </c>
    </row>
    <row r="25" spans="1:9" x14ac:dyDescent="0.3">
      <c r="A25" s="192"/>
      <c r="B25" s="4" t="s">
        <v>40</v>
      </c>
      <c r="C25" s="5">
        <v>20</v>
      </c>
      <c r="D25" s="6">
        <v>526</v>
      </c>
      <c r="E25" s="7">
        <v>0.03</v>
      </c>
      <c r="F25" s="7">
        <v>0.2</v>
      </c>
      <c r="G25" s="5">
        <v>0</v>
      </c>
      <c r="H25" s="8">
        <f t="shared" si="0"/>
        <v>0.8</v>
      </c>
      <c r="I25" s="9">
        <f t="shared" si="1"/>
        <v>420.8</v>
      </c>
    </row>
    <row r="26" spans="1:9" x14ac:dyDescent="0.3">
      <c r="A26" s="192"/>
      <c r="B26" s="4" t="s">
        <v>41</v>
      </c>
      <c r="C26" s="5">
        <v>20</v>
      </c>
      <c r="D26" s="6">
        <v>70</v>
      </c>
      <c r="E26" s="7">
        <v>7.0000000000000007E-2</v>
      </c>
      <c r="F26" s="7">
        <v>0.2</v>
      </c>
      <c r="G26" s="5">
        <v>0</v>
      </c>
      <c r="H26" s="8">
        <f t="shared" si="0"/>
        <v>1.6</v>
      </c>
      <c r="I26" s="9">
        <f t="shared" si="1"/>
        <v>112</v>
      </c>
    </row>
    <row r="27" spans="1:9" ht="33" customHeight="1" x14ac:dyDescent="0.3">
      <c r="A27" s="192"/>
      <c r="B27" s="4" t="s">
        <v>42</v>
      </c>
      <c r="C27" s="5">
        <v>15</v>
      </c>
      <c r="D27" s="12">
        <v>18.2</v>
      </c>
      <c r="E27" s="7">
        <v>4.7E-2</v>
      </c>
      <c r="F27" s="7">
        <v>0.56000000000000005</v>
      </c>
      <c r="G27" s="5">
        <v>0</v>
      </c>
      <c r="H27" s="8">
        <f t="shared" si="0"/>
        <v>1.2650000000000001</v>
      </c>
      <c r="I27" s="9">
        <f t="shared" si="1"/>
        <v>23.023</v>
      </c>
    </row>
    <row r="28" spans="1:9" x14ac:dyDescent="0.3">
      <c r="A28" s="192"/>
      <c r="B28" s="4" t="s">
        <v>43</v>
      </c>
      <c r="C28" s="5">
        <v>12</v>
      </c>
      <c r="D28" s="13">
        <v>1.54</v>
      </c>
      <c r="E28" s="7">
        <v>0.02</v>
      </c>
      <c r="F28" s="7">
        <v>0.98499999999999999</v>
      </c>
      <c r="G28" s="5">
        <v>12</v>
      </c>
      <c r="H28" s="8">
        <f t="shared" si="0"/>
        <v>0.98860000000000003</v>
      </c>
      <c r="I28" s="9">
        <f t="shared" si="1"/>
        <v>1.5224440000000001</v>
      </c>
    </row>
    <row r="29" spans="1:9" x14ac:dyDescent="0.3">
      <c r="A29" s="192"/>
      <c r="B29" s="4" t="s">
        <v>44</v>
      </c>
      <c r="C29" s="5">
        <v>15</v>
      </c>
      <c r="D29" s="12">
        <v>7.5</v>
      </c>
      <c r="E29" s="7">
        <v>0.05</v>
      </c>
      <c r="F29" s="7">
        <v>0.8</v>
      </c>
      <c r="G29" s="5">
        <v>3</v>
      </c>
      <c r="H29" s="8">
        <f t="shared" si="0"/>
        <v>1.4300000000000002</v>
      </c>
      <c r="I29" s="9">
        <f t="shared" si="1"/>
        <v>10.725000000000001</v>
      </c>
    </row>
    <row r="30" spans="1:9" x14ac:dyDescent="0.3">
      <c r="A30" s="192"/>
      <c r="B30" s="4" t="s">
        <v>45</v>
      </c>
      <c r="C30" s="5">
        <v>15</v>
      </c>
      <c r="D30" s="12">
        <v>8.1999999999999993</v>
      </c>
      <c r="E30" s="7">
        <v>5.2999999999999999E-2</v>
      </c>
      <c r="F30" s="7">
        <v>0.8</v>
      </c>
      <c r="G30" s="5">
        <v>3</v>
      </c>
      <c r="H30" s="8">
        <f t="shared" si="0"/>
        <v>1.4678</v>
      </c>
      <c r="I30" s="9">
        <f t="shared" si="1"/>
        <v>12.035959999999999</v>
      </c>
    </row>
    <row r="31" spans="1:9" ht="28.8" x14ac:dyDescent="0.3">
      <c r="A31" s="192"/>
      <c r="B31" s="4" t="s">
        <v>46</v>
      </c>
      <c r="C31" s="5">
        <v>12</v>
      </c>
      <c r="D31" s="13">
        <v>1.54</v>
      </c>
      <c r="E31" s="7">
        <v>0.02</v>
      </c>
      <c r="F31" s="7">
        <v>0.98499999999999999</v>
      </c>
      <c r="G31" s="5">
        <v>12</v>
      </c>
      <c r="H31" s="8">
        <f t="shared" si="0"/>
        <v>0.98860000000000003</v>
      </c>
      <c r="I31" s="9">
        <f t="shared" si="1"/>
        <v>1.5224440000000001</v>
      </c>
    </row>
    <row r="32" spans="1:9" x14ac:dyDescent="0.3">
      <c r="A32" s="192"/>
      <c r="B32" s="4" t="s">
        <v>47</v>
      </c>
      <c r="C32" s="5">
        <v>10</v>
      </c>
      <c r="D32" s="13">
        <v>1.54</v>
      </c>
      <c r="E32" s="7">
        <v>0.01</v>
      </c>
      <c r="F32" s="7">
        <v>0.98499999999999999</v>
      </c>
      <c r="G32" s="5">
        <v>10</v>
      </c>
      <c r="H32" s="8">
        <f t="shared" si="0"/>
        <v>0.98649999999999993</v>
      </c>
      <c r="I32" s="9">
        <f t="shared" si="1"/>
        <v>1.5192099999999999</v>
      </c>
    </row>
    <row r="33" spans="1:9" x14ac:dyDescent="0.3">
      <c r="A33" s="192"/>
      <c r="B33" s="4" t="s">
        <v>48</v>
      </c>
      <c r="C33" s="5">
        <v>5</v>
      </c>
      <c r="D33" s="13">
        <v>1</v>
      </c>
      <c r="E33" s="7">
        <v>0.01</v>
      </c>
      <c r="F33" s="7">
        <v>0.98499999999999999</v>
      </c>
      <c r="G33" s="5">
        <v>5</v>
      </c>
      <c r="H33" s="8">
        <f t="shared" si="0"/>
        <v>0.98575000000000002</v>
      </c>
      <c r="I33" s="9">
        <f t="shared" si="1"/>
        <v>0.98575000000000002</v>
      </c>
    </row>
    <row r="34" spans="1:9" x14ac:dyDescent="0.3">
      <c r="A34" s="192" t="s">
        <v>49</v>
      </c>
      <c r="B34" s="4" t="s">
        <v>50</v>
      </c>
      <c r="C34" s="5">
        <v>12</v>
      </c>
      <c r="D34" s="13">
        <v>1.52</v>
      </c>
      <c r="E34" s="7">
        <v>0.08</v>
      </c>
      <c r="F34" s="7">
        <v>0.42499999999999999</v>
      </c>
      <c r="G34" s="5">
        <v>2</v>
      </c>
      <c r="H34" s="8">
        <f t="shared" si="0"/>
        <v>1.3169999999999999</v>
      </c>
      <c r="I34" s="9">
        <f t="shared" si="1"/>
        <v>2.0018400000000001</v>
      </c>
    </row>
    <row r="35" spans="1:9" x14ac:dyDescent="0.3">
      <c r="A35" s="192"/>
      <c r="B35" s="4" t="s">
        <v>51</v>
      </c>
      <c r="C35" s="5">
        <v>10</v>
      </c>
      <c r="D35" s="13">
        <v>2.92</v>
      </c>
      <c r="E35" s="7">
        <v>0.33800000000000002</v>
      </c>
      <c r="F35" s="7">
        <v>0.51339999999999997</v>
      </c>
      <c r="G35" s="5">
        <v>1</v>
      </c>
      <c r="H35" s="8">
        <f t="shared" si="0"/>
        <v>3.7198708000000003</v>
      </c>
      <c r="I35" s="9">
        <f t="shared" si="1"/>
        <v>10.862022736</v>
      </c>
    </row>
    <row r="36" spans="1:9" x14ac:dyDescent="0.3">
      <c r="A36" s="192"/>
      <c r="B36" s="4" t="s">
        <v>52</v>
      </c>
      <c r="C36" s="5">
        <v>12</v>
      </c>
      <c r="D36" s="12">
        <v>21.8</v>
      </c>
      <c r="E36" s="7">
        <v>0.11699999999999999</v>
      </c>
      <c r="F36" s="7">
        <v>0.49</v>
      </c>
      <c r="G36" s="5">
        <v>1</v>
      </c>
      <c r="H36" s="8">
        <f t="shared" si="0"/>
        <v>1.8366699999999998</v>
      </c>
      <c r="I36" s="9">
        <f t="shared" si="1"/>
        <v>40.039406</v>
      </c>
    </row>
    <row r="37" spans="1:9" x14ac:dyDescent="0.3">
      <c r="A37" s="192"/>
      <c r="B37" s="4" t="s">
        <v>53</v>
      </c>
      <c r="C37" s="5">
        <v>10</v>
      </c>
      <c r="D37" s="13">
        <v>2.4300000000000002</v>
      </c>
      <c r="E37" s="7">
        <v>0.33800000000000002</v>
      </c>
      <c r="F37" s="7">
        <v>0.51300000000000001</v>
      </c>
      <c r="G37" s="5">
        <v>1</v>
      </c>
      <c r="H37" s="8">
        <f t="shared" si="0"/>
        <v>3.7196060000000002</v>
      </c>
      <c r="I37" s="9">
        <f t="shared" si="1"/>
        <v>9.0386425800000012</v>
      </c>
    </row>
    <row r="38" spans="1:9" x14ac:dyDescent="0.3">
      <c r="A38" s="192"/>
      <c r="B38" s="4" t="s">
        <v>54</v>
      </c>
      <c r="C38" s="5">
        <v>7</v>
      </c>
      <c r="D38" s="6">
        <v>16</v>
      </c>
      <c r="E38" s="7">
        <v>0.15</v>
      </c>
      <c r="F38" s="7">
        <v>0.49</v>
      </c>
      <c r="G38" s="5">
        <v>1</v>
      </c>
      <c r="H38" s="8">
        <f t="shared" si="0"/>
        <v>1.4664999999999999</v>
      </c>
      <c r="I38" s="9">
        <f t="shared" si="1"/>
        <v>23.463999999999999</v>
      </c>
    </row>
    <row r="39" spans="1:9" x14ac:dyDescent="0.3">
      <c r="A39" s="192"/>
      <c r="B39" s="4" t="s">
        <v>55</v>
      </c>
      <c r="C39" s="5">
        <v>5</v>
      </c>
      <c r="D39" s="12">
        <v>33.1</v>
      </c>
      <c r="E39" s="7">
        <v>0.05</v>
      </c>
      <c r="F39" s="7">
        <v>0.191</v>
      </c>
      <c r="G39" s="5">
        <v>1</v>
      </c>
      <c r="H39" s="8">
        <f t="shared" si="0"/>
        <v>0.43145</v>
      </c>
      <c r="I39" s="9">
        <f t="shared" si="1"/>
        <v>14.280995000000001</v>
      </c>
    </row>
    <row r="40" spans="1:9" x14ac:dyDescent="0.3">
      <c r="A40" s="192"/>
      <c r="B40" s="4" t="s">
        <v>56</v>
      </c>
      <c r="C40" s="5">
        <v>15</v>
      </c>
      <c r="D40" s="6">
        <v>273.2</v>
      </c>
      <c r="E40" s="7">
        <v>0.36599999999999999</v>
      </c>
      <c r="F40" s="7">
        <v>0</v>
      </c>
      <c r="G40" s="5">
        <v>1</v>
      </c>
      <c r="H40" s="8">
        <f t="shared" si="0"/>
        <v>5.49</v>
      </c>
      <c r="I40" s="9">
        <f t="shared" si="1"/>
        <v>1499.8679999999999</v>
      </c>
    </row>
    <row r="41" spans="1:9" x14ac:dyDescent="0.3">
      <c r="A41" s="5" t="s">
        <v>429</v>
      </c>
      <c r="B41" s="4" t="s">
        <v>442</v>
      </c>
      <c r="C41" s="5">
        <v>0</v>
      </c>
      <c r="D41" s="6">
        <v>0</v>
      </c>
      <c r="E41" s="7">
        <v>0</v>
      </c>
      <c r="F41" s="7">
        <v>0</v>
      </c>
      <c r="G41" s="5">
        <v>0</v>
      </c>
      <c r="H41" s="8">
        <f t="shared" ref="H41" si="2">(E41*C41+F41*(1-E41*G41))</f>
        <v>0</v>
      </c>
      <c r="I41" s="9">
        <f t="shared" ref="I41" si="3">H41*D41</f>
        <v>0</v>
      </c>
    </row>
  </sheetData>
  <mergeCells count="3">
    <mergeCell ref="A2:A23"/>
    <mergeCell ref="A24:A33"/>
    <mergeCell ref="A34:A4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B73B5-D6FC-914E-BB19-E1F37F9777AB}">
  <sheetPr codeName="Sheet17">
    <tabColor theme="0" tint="-0.14999847407452621"/>
    <pageSetUpPr fitToPage="1"/>
  </sheetPr>
  <dimension ref="A1:L185"/>
  <sheetViews>
    <sheetView topLeftCell="A124" workbookViewId="0">
      <selection activeCell="B29" sqref="B29"/>
    </sheetView>
  </sheetViews>
  <sheetFormatPr defaultColWidth="11.44140625" defaultRowHeight="13.2" x14ac:dyDescent="0.25"/>
  <cols>
    <col min="1" max="1" width="27.44140625" style="19" customWidth="1"/>
    <col min="2" max="2" width="40.44140625" style="19" customWidth="1"/>
    <col min="3" max="3" width="14.44140625" style="19" customWidth="1"/>
    <col min="4" max="5" width="18.44140625" style="19" bestFit="1" customWidth="1"/>
    <col min="6" max="6" width="78.44140625" style="19" bestFit="1" customWidth="1"/>
    <col min="7" max="256" width="8.44140625" style="19" customWidth="1"/>
    <col min="257" max="257" width="27.44140625" style="19" customWidth="1"/>
    <col min="258" max="258" width="40.44140625" style="19" customWidth="1"/>
    <col min="259" max="261" width="14.44140625" style="19" customWidth="1"/>
    <col min="262" max="512" width="8.44140625" style="19" customWidth="1"/>
    <col min="513" max="513" width="27.44140625" style="19" customWidth="1"/>
    <col min="514" max="514" width="40.44140625" style="19" customWidth="1"/>
    <col min="515" max="517" width="14.44140625" style="19" customWidth="1"/>
    <col min="518" max="768" width="8.44140625" style="19" customWidth="1"/>
    <col min="769" max="769" width="27.44140625" style="19" customWidth="1"/>
    <col min="770" max="770" width="40.44140625" style="19" customWidth="1"/>
    <col min="771" max="773" width="14.44140625" style="19" customWidth="1"/>
    <col min="774" max="1024" width="8.44140625" style="19" customWidth="1"/>
    <col min="1025" max="1025" width="27.44140625" style="19" customWidth="1"/>
    <col min="1026" max="1026" width="40.44140625" style="19" customWidth="1"/>
    <col min="1027" max="1029" width="14.44140625" style="19" customWidth="1"/>
    <col min="1030" max="1280" width="8.44140625" style="19" customWidth="1"/>
    <col min="1281" max="1281" width="27.44140625" style="19" customWidth="1"/>
    <col min="1282" max="1282" width="40.44140625" style="19" customWidth="1"/>
    <col min="1283" max="1285" width="14.44140625" style="19" customWidth="1"/>
    <col min="1286" max="1536" width="8.44140625" style="19" customWidth="1"/>
    <col min="1537" max="1537" width="27.44140625" style="19" customWidth="1"/>
    <col min="1538" max="1538" width="40.44140625" style="19" customWidth="1"/>
    <col min="1539" max="1541" width="14.44140625" style="19" customWidth="1"/>
    <col min="1542" max="1792" width="8.44140625" style="19" customWidth="1"/>
    <col min="1793" max="1793" width="27.44140625" style="19" customWidth="1"/>
    <col min="1794" max="1794" width="40.44140625" style="19" customWidth="1"/>
    <col min="1795" max="1797" width="14.44140625" style="19" customWidth="1"/>
    <col min="1798" max="2048" width="8.44140625" style="19" customWidth="1"/>
    <col min="2049" max="2049" width="27.44140625" style="19" customWidth="1"/>
    <col min="2050" max="2050" width="40.44140625" style="19" customWidth="1"/>
    <col min="2051" max="2053" width="14.44140625" style="19" customWidth="1"/>
    <col min="2054" max="2304" width="8.44140625" style="19" customWidth="1"/>
    <col min="2305" max="2305" width="27.44140625" style="19" customWidth="1"/>
    <col min="2306" max="2306" width="40.44140625" style="19" customWidth="1"/>
    <col min="2307" max="2309" width="14.44140625" style="19" customWidth="1"/>
    <col min="2310" max="2560" width="8.44140625" style="19" customWidth="1"/>
    <col min="2561" max="2561" width="27.44140625" style="19" customWidth="1"/>
    <col min="2562" max="2562" width="40.44140625" style="19" customWidth="1"/>
    <col min="2563" max="2565" width="14.44140625" style="19" customWidth="1"/>
    <col min="2566" max="2816" width="8.44140625" style="19" customWidth="1"/>
    <col min="2817" max="2817" width="27.44140625" style="19" customWidth="1"/>
    <col min="2818" max="2818" width="40.44140625" style="19" customWidth="1"/>
    <col min="2819" max="2821" width="14.44140625" style="19" customWidth="1"/>
    <col min="2822" max="3072" width="8.44140625" style="19" customWidth="1"/>
    <col min="3073" max="3073" width="27.44140625" style="19" customWidth="1"/>
    <col min="3074" max="3074" width="40.44140625" style="19" customWidth="1"/>
    <col min="3075" max="3077" width="14.44140625" style="19" customWidth="1"/>
    <col min="3078" max="3328" width="8.44140625" style="19" customWidth="1"/>
    <col min="3329" max="3329" width="27.44140625" style="19" customWidth="1"/>
    <col min="3330" max="3330" width="40.44140625" style="19" customWidth="1"/>
    <col min="3331" max="3333" width="14.44140625" style="19" customWidth="1"/>
    <col min="3334" max="3584" width="8.44140625" style="19" customWidth="1"/>
    <col min="3585" max="3585" width="27.44140625" style="19" customWidth="1"/>
    <col min="3586" max="3586" width="40.44140625" style="19" customWidth="1"/>
    <col min="3587" max="3589" width="14.44140625" style="19" customWidth="1"/>
    <col min="3590" max="3840" width="8.44140625" style="19" customWidth="1"/>
    <col min="3841" max="3841" width="27.44140625" style="19" customWidth="1"/>
    <col min="3842" max="3842" width="40.44140625" style="19" customWidth="1"/>
    <col min="3843" max="3845" width="14.44140625" style="19" customWidth="1"/>
    <col min="3846" max="4096" width="8.44140625" style="19" customWidth="1"/>
    <col min="4097" max="4097" width="27.44140625" style="19" customWidth="1"/>
    <col min="4098" max="4098" width="40.44140625" style="19" customWidth="1"/>
    <col min="4099" max="4101" width="14.44140625" style="19" customWidth="1"/>
    <col min="4102" max="4352" width="8.44140625" style="19" customWidth="1"/>
    <col min="4353" max="4353" width="27.44140625" style="19" customWidth="1"/>
    <col min="4354" max="4354" width="40.44140625" style="19" customWidth="1"/>
    <col min="4355" max="4357" width="14.44140625" style="19" customWidth="1"/>
    <col min="4358" max="4608" width="8.44140625" style="19" customWidth="1"/>
    <col min="4609" max="4609" width="27.44140625" style="19" customWidth="1"/>
    <col min="4610" max="4610" width="40.44140625" style="19" customWidth="1"/>
    <col min="4611" max="4613" width="14.44140625" style="19" customWidth="1"/>
    <col min="4614" max="4864" width="8.44140625" style="19" customWidth="1"/>
    <col min="4865" max="4865" width="27.44140625" style="19" customWidth="1"/>
    <col min="4866" max="4866" width="40.44140625" style="19" customWidth="1"/>
    <col min="4867" max="4869" width="14.44140625" style="19" customWidth="1"/>
    <col min="4870" max="5120" width="8.44140625" style="19" customWidth="1"/>
    <col min="5121" max="5121" width="27.44140625" style="19" customWidth="1"/>
    <col min="5122" max="5122" width="40.44140625" style="19" customWidth="1"/>
    <col min="5123" max="5125" width="14.44140625" style="19" customWidth="1"/>
    <col min="5126" max="5376" width="8.44140625" style="19" customWidth="1"/>
    <col min="5377" max="5377" width="27.44140625" style="19" customWidth="1"/>
    <col min="5378" max="5378" width="40.44140625" style="19" customWidth="1"/>
    <col min="5379" max="5381" width="14.44140625" style="19" customWidth="1"/>
    <col min="5382" max="5632" width="8.44140625" style="19" customWidth="1"/>
    <col min="5633" max="5633" width="27.44140625" style="19" customWidth="1"/>
    <col min="5634" max="5634" width="40.44140625" style="19" customWidth="1"/>
    <col min="5635" max="5637" width="14.44140625" style="19" customWidth="1"/>
    <col min="5638" max="5888" width="8.44140625" style="19" customWidth="1"/>
    <col min="5889" max="5889" width="27.44140625" style="19" customWidth="1"/>
    <col min="5890" max="5890" width="40.44140625" style="19" customWidth="1"/>
    <col min="5891" max="5893" width="14.44140625" style="19" customWidth="1"/>
    <col min="5894" max="6144" width="8.44140625" style="19" customWidth="1"/>
    <col min="6145" max="6145" width="27.44140625" style="19" customWidth="1"/>
    <col min="6146" max="6146" width="40.44140625" style="19" customWidth="1"/>
    <col min="6147" max="6149" width="14.44140625" style="19" customWidth="1"/>
    <col min="6150" max="6400" width="8.44140625" style="19" customWidth="1"/>
    <col min="6401" max="6401" width="27.44140625" style="19" customWidth="1"/>
    <col min="6402" max="6402" width="40.44140625" style="19" customWidth="1"/>
    <col min="6403" max="6405" width="14.44140625" style="19" customWidth="1"/>
    <col min="6406" max="6656" width="8.44140625" style="19" customWidth="1"/>
    <col min="6657" max="6657" width="27.44140625" style="19" customWidth="1"/>
    <col min="6658" max="6658" width="40.44140625" style="19" customWidth="1"/>
    <col min="6659" max="6661" width="14.44140625" style="19" customWidth="1"/>
    <col min="6662" max="6912" width="8.44140625" style="19" customWidth="1"/>
    <col min="6913" max="6913" width="27.44140625" style="19" customWidth="1"/>
    <col min="6914" max="6914" width="40.44140625" style="19" customWidth="1"/>
    <col min="6915" max="6917" width="14.44140625" style="19" customWidth="1"/>
    <col min="6918" max="7168" width="8.44140625" style="19" customWidth="1"/>
    <col min="7169" max="7169" width="27.44140625" style="19" customWidth="1"/>
    <col min="7170" max="7170" width="40.44140625" style="19" customWidth="1"/>
    <col min="7171" max="7173" width="14.44140625" style="19" customWidth="1"/>
    <col min="7174" max="7424" width="8.44140625" style="19" customWidth="1"/>
    <col min="7425" max="7425" width="27.44140625" style="19" customWidth="1"/>
    <col min="7426" max="7426" width="40.44140625" style="19" customWidth="1"/>
    <col min="7427" max="7429" width="14.44140625" style="19" customWidth="1"/>
    <col min="7430" max="7680" width="8.44140625" style="19" customWidth="1"/>
    <col min="7681" max="7681" width="27.44140625" style="19" customWidth="1"/>
    <col min="7682" max="7682" width="40.44140625" style="19" customWidth="1"/>
    <col min="7683" max="7685" width="14.44140625" style="19" customWidth="1"/>
    <col min="7686" max="7936" width="8.44140625" style="19" customWidth="1"/>
    <col min="7937" max="7937" width="27.44140625" style="19" customWidth="1"/>
    <col min="7938" max="7938" width="40.44140625" style="19" customWidth="1"/>
    <col min="7939" max="7941" width="14.44140625" style="19" customWidth="1"/>
    <col min="7942" max="8192" width="8.44140625" style="19" customWidth="1"/>
    <col min="8193" max="8193" width="27.44140625" style="19" customWidth="1"/>
    <col min="8194" max="8194" width="40.44140625" style="19" customWidth="1"/>
    <col min="8195" max="8197" width="14.44140625" style="19" customWidth="1"/>
    <col min="8198" max="8448" width="8.44140625" style="19" customWidth="1"/>
    <col min="8449" max="8449" width="27.44140625" style="19" customWidth="1"/>
    <col min="8450" max="8450" width="40.44140625" style="19" customWidth="1"/>
    <col min="8451" max="8453" width="14.44140625" style="19" customWidth="1"/>
    <col min="8454" max="8704" width="8.44140625" style="19" customWidth="1"/>
    <col min="8705" max="8705" width="27.44140625" style="19" customWidth="1"/>
    <col min="8706" max="8706" width="40.44140625" style="19" customWidth="1"/>
    <col min="8707" max="8709" width="14.44140625" style="19" customWidth="1"/>
    <col min="8710" max="8960" width="8.44140625" style="19" customWidth="1"/>
    <col min="8961" max="8961" width="27.44140625" style="19" customWidth="1"/>
    <col min="8962" max="8962" width="40.44140625" style="19" customWidth="1"/>
    <col min="8963" max="8965" width="14.44140625" style="19" customWidth="1"/>
    <col min="8966" max="9216" width="8.44140625" style="19" customWidth="1"/>
    <col min="9217" max="9217" width="27.44140625" style="19" customWidth="1"/>
    <col min="9218" max="9218" width="40.44140625" style="19" customWidth="1"/>
    <col min="9219" max="9221" width="14.44140625" style="19" customWidth="1"/>
    <col min="9222" max="9472" width="8.44140625" style="19" customWidth="1"/>
    <col min="9473" max="9473" width="27.44140625" style="19" customWidth="1"/>
    <col min="9474" max="9474" width="40.44140625" style="19" customWidth="1"/>
    <col min="9475" max="9477" width="14.44140625" style="19" customWidth="1"/>
    <col min="9478" max="9728" width="8.44140625" style="19" customWidth="1"/>
    <col min="9729" max="9729" width="27.44140625" style="19" customWidth="1"/>
    <col min="9730" max="9730" width="40.44140625" style="19" customWidth="1"/>
    <col min="9731" max="9733" width="14.44140625" style="19" customWidth="1"/>
    <col min="9734" max="9984" width="8.44140625" style="19" customWidth="1"/>
    <col min="9985" max="9985" width="27.44140625" style="19" customWidth="1"/>
    <col min="9986" max="9986" width="40.44140625" style="19" customWidth="1"/>
    <col min="9987" max="9989" width="14.44140625" style="19" customWidth="1"/>
    <col min="9990" max="10240" width="8.44140625" style="19" customWidth="1"/>
    <col min="10241" max="10241" width="27.44140625" style="19" customWidth="1"/>
    <col min="10242" max="10242" width="40.44140625" style="19" customWidth="1"/>
    <col min="10243" max="10245" width="14.44140625" style="19" customWidth="1"/>
    <col min="10246" max="10496" width="8.44140625" style="19" customWidth="1"/>
    <col min="10497" max="10497" width="27.44140625" style="19" customWidth="1"/>
    <col min="10498" max="10498" width="40.44140625" style="19" customWidth="1"/>
    <col min="10499" max="10501" width="14.44140625" style="19" customWidth="1"/>
    <col min="10502" max="10752" width="8.44140625" style="19" customWidth="1"/>
    <col min="10753" max="10753" width="27.44140625" style="19" customWidth="1"/>
    <col min="10754" max="10754" width="40.44140625" style="19" customWidth="1"/>
    <col min="10755" max="10757" width="14.44140625" style="19" customWidth="1"/>
    <col min="10758" max="11008" width="8.44140625" style="19" customWidth="1"/>
    <col min="11009" max="11009" width="27.44140625" style="19" customWidth="1"/>
    <col min="11010" max="11010" width="40.44140625" style="19" customWidth="1"/>
    <col min="11011" max="11013" width="14.44140625" style="19" customWidth="1"/>
    <col min="11014" max="11264" width="8.44140625" style="19" customWidth="1"/>
    <col min="11265" max="11265" width="27.44140625" style="19" customWidth="1"/>
    <col min="11266" max="11266" width="40.44140625" style="19" customWidth="1"/>
    <col min="11267" max="11269" width="14.44140625" style="19" customWidth="1"/>
    <col min="11270" max="11520" width="8.44140625" style="19" customWidth="1"/>
    <col min="11521" max="11521" width="27.44140625" style="19" customWidth="1"/>
    <col min="11522" max="11522" width="40.44140625" style="19" customWidth="1"/>
    <col min="11523" max="11525" width="14.44140625" style="19" customWidth="1"/>
    <col min="11526" max="11776" width="8.44140625" style="19" customWidth="1"/>
    <col min="11777" max="11777" width="27.44140625" style="19" customWidth="1"/>
    <col min="11778" max="11778" width="40.44140625" style="19" customWidth="1"/>
    <col min="11779" max="11781" width="14.44140625" style="19" customWidth="1"/>
    <col min="11782" max="12032" width="8.44140625" style="19" customWidth="1"/>
    <col min="12033" max="12033" width="27.44140625" style="19" customWidth="1"/>
    <col min="12034" max="12034" width="40.44140625" style="19" customWidth="1"/>
    <col min="12035" max="12037" width="14.44140625" style="19" customWidth="1"/>
    <col min="12038" max="12288" width="8.44140625" style="19" customWidth="1"/>
    <col min="12289" max="12289" width="27.44140625" style="19" customWidth="1"/>
    <col min="12290" max="12290" width="40.44140625" style="19" customWidth="1"/>
    <col min="12291" max="12293" width="14.44140625" style="19" customWidth="1"/>
    <col min="12294" max="12544" width="8.44140625" style="19" customWidth="1"/>
    <col min="12545" max="12545" width="27.44140625" style="19" customWidth="1"/>
    <col min="12546" max="12546" width="40.44140625" style="19" customWidth="1"/>
    <col min="12547" max="12549" width="14.44140625" style="19" customWidth="1"/>
    <col min="12550" max="12800" width="8.44140625" style="19" customWidth="1"/>
    <col min="12801" max="12801" width="27.44140625" style="19" customWidth="1"/>
    <col min="12802" max="12802" width="40.44140625" style="19" customWidth="1"/>
    <col min="12803" max="12805" width="14.44140625" style="19" customWidth="1"/>
    <col min="12806" max="13056" width="8.44140625" style="19" customWidth="1"/>
    <col min="13057" max="13057" width="27.44140625" style="19" customWidth="1"/>
    <col min="13058" max="13058" width="40.44140625" style="19" customWidth="1"/>
    <col min="13059" max="13061" width="14.44140625" style="19" customWidth="1"/>
    <col min="13062" max="13312" width="8.44140625" style="19" customWidth="1"/>
    <col min="13313" max="13313" width="27.44140625" style="19" customWidth="1"/>
    <col min="13314" max="13314" width="40.44140625" style="19" customWidth="1"/>
    <col min="13315" max="13317" width="14.44140625" style="19" customWidth="1"/>
    <col min="13318" max="13568" width="8.44140625" style="19" customWidth="1"/>
    <col min="13569" max="13569" width="27.44140625" style="19" customWidth="1"/>
    <col min="13570" max="13570" width="40.44140625" style="19" customWidth="1"/>
    <col min="13571" max="13573" width="14.44140625" style="19" customWidth="1"/>
    <col min="13574" max="13824" width="8.44140625" style="19" customWidth="1"/>
    <col min="13825" max="13825" width="27.44140625" style="19" customWidth="1"/>
    <col min="13826" max="13826" width="40.44140625" style="19" customWidth="1"/>
    <col min="13827" max="13829" width="14.44140625" style="19" customWidth="1"/>
    <col min="13830" max="14080" width="8.44140625" style="19" customWidth="1"/>
    <col min="14081" max="14081" width="27.44140625" style="19" customWidth="1"/>
    <col min="14082" max="14082" width="40.44140625" style="19" customWidth="1"/>
    <col min="14083" max="14085" width="14.44140625" style="19" customWidth="1"/>
    <col min="14086" max="14336" width="8.44140625" style="19" customWidth="1"/>
    <col min="14337" max="14337" width="27.44140625" style="19" customWidth="1"/>
    <col min="14338" max="14338" width="40.44140625" style="19" customWidth="1"/>
    <col min="14339" max="14341" width="14.44140625" style="19" customWidth="1"/>
    <col min="14342" max="14592" width="8.44140625" style="19" customWidth="1"/>
    <col min="14593" max="14593" width="27.44140625" style="19" customWidth="1"/>
    <col min="14594" max="14594" width="40.44140625" style="19" customWidth="1"/>
    <col min="14595" max="14597" width="14.44140625" style="19" customWidth="1"/>
    <col min="14598" max="14848" width="8.44140625" style="19" customWidth="1"/>
    <col min="14849" max="14849" width="27.44140625" style="19" customWidth="1"/>
    <col min="14850" max="14850" width="40.44140625" style="19" customWidth="1"/>
    <col min="14851" max="14853" width="14.44140625" style="19" customWidth="1"/>
    <col min="14854" max="15104" width="8.44140625" style="19" customWidth="1"/>
    <col min="15105" max="15105" width="27.44140625" style="19" customWidth="1"/>
    <col min="15106" max="15106" width="40.44140625" style="19" customWidth="1"/>
    <col min="15107" max="15109" width="14.44140625" style="19" customWidth="1"/>
    <col min="15110" max="15360" width="8.44140625" style="19" customWidth="1"/>
    <col min="15361" max="15361" width="27.44140625" style="19" customWidth="1"/>
    <col min="15362" max="15362" width="40.44140625" style="19" customWidth="1"/>
    <col min="15363" max="15365" width="14.44140625" style="19" customWidth="1"/>
    <col min="15366" max="15616" width="8.44140625" style="19" customWidth="1"/>
    <col min="15617" max="15617" width="27.44140625" style="19" customWidth="1"/>
    <col min="15618" max="15618" width="40.44140625" style="19" customWidth="1"/>
    <col min="15619" max="15621" width="14.44140625" style="19" customWidth="1"/>
    <col min="15622" max="15872" width="8.44140625" style="19" customWidth="1"/>
    <col min="15873" max="15873" width="27.44140625" style="19" customWidth="1"/>
    <col min="15874" max="15874" width="40.44140625" style="19" customWidth="1"/>
    <col min="15875" max="15877" width="14.44140625" style="19" customWidth="1"/>
    <col min="15878" max="16128" width="8.44140625" style="19" customWidth="1"/>
    <col min="16129" max="16129" width="27.44140625" style="19" customWidth="1"/>
    <col min="16130" max="16130" width="40.44140625" style="19" customWidth="1"/>
    <col min="16131" max="16133" width="14.44140625" style="19" customWidth="1"/>
    <col min="16134" max="16384" width="8.44140625" style="19" customWidth="1"/>
  </cols>
  <sheetData>
    <row r="1" spans="1:7" s="14" customFormat="1" ht="78" customHeight="1" x14ac:dyDescent="0.25">
      <c r="A1" s="3" t="s">
        <v>57</v>
      </c>
      <c r="B1" s="3" t="s">
        <v>58</v>
      </c>
      <c r="C1" s="3" t="s">
        <v>59</v>
      </c>
      <c r="D1" s="3" t="s">
        <v>60</v>
      </c>
      <c r="E1" s="3" t="s">
        <v>61</v>
      </c>
      <c r="F1" s="3" t="s">
        <v>5</v>
      </c>
      <c r="G1" s="3" t="s">
        <v>379</v>
      </c>
    </row>
    <row r="2" spans="1:7" ht="15.6" x14ac:dyDescent="0.35">
      <c r="A2" s="15" t="s">
        <v>62</v>
      </c>
      <c r="B2" s="16" t="s">
        <v>63</v>
      </c>
      <c r="C2" s="17">
        <v>45</v>
      </c>
      <c r="D2" s="17">
        <v>4750</v>
      </c>
      <c r="E2" s="18">
        <v>6730</v>
      </c>
      <c r="F2" s="193" t="s">
        <v>406</v>
      </c>
      <c r="G2" s="16">
        <f>IF(Dashboard!$D$60="100-yr",D2,E2)</f>
        <v>4750</v>
      </c>
    </row>
    <row r="3" spans="1:7" ht="15.6" x14ac:dyDescent="0.35">
      <c r="A3" s="15" t="s">
        <v>64</v>
      </c>
      <c r="B3" s="16" t="s">
        <v>65</v>
      </c>
      <c r="C3" s="17">
        <v>100</v>
      </c>
      <c r="D3" s="17">
        <v>10900</v>
      </c>
      <c r="E3" s="18">
        <v>11000</v>
      </c>
      <c r="F3" s="193"/>
      <c r="G3" s="16">
        <f>IF(Dashboard!$D$60="100-yr",D3,E3)</f>
        <v>10900</v>
      </c>
    </row>
    <row r="4" spans="1:7" ht="15.6" x14ac:dyDescent="0.35">
      <c r="A4" s="15" t="s">
        <v>66</v>
      </c>
      <c r="B4" s="16" t="s">
        <v>67</v>
      </c>
      <c r="C4" s="17">
        <v>640</v>
      </c>
      <c r="D4" s="17">
        <v>14400</v>
      </c>
      <c r="E4" s="18">
        <v>10800</v>
      </c>
      <c r="F4" s="193"/>
      <c r="G4" s="16">
        <f>IF(Dashboard!$D$60="100-yr",D4,E4)</f>
        <v>14400</v>
      </c>
    </row>
    <row r="5" spans="1:7" ht="15.6" x14ac:dyDescent="0.35">
      <c r="A5" s="15" t="s">
        <v>68</v>
      </c>
      <c r="B5" s="16" t="s">
        <v>69</v>
      </c>
      <c r="C5" s="17">
        <v>85</v>
      </c>
      <c r="D5" s="17">
        <v>6130</v>
      </c>
      <c r="E5" s="18">
        <v>6540</v>
      </c>
      <c r="F5" s="193"/>
      <c r="G5" s="16">
        <f>IF(Dashboard!$D$60="100-yr",D5,E5)</f>
        <v>6130</v>
      </c>
    </row>
    <row r="6" spans="1:7" ht="15.6" x14ac:dyDescent="0.35">
      <c r="A6" s="15" t="s">
        <v>70</v>
      </c>
      <c r="B6" s="16" t="s">
        <v>71</v>
      </c>
      <c r="C6" s="17">
        <v>190</v>
      </c>
      <c r="D6" s="17">
        <v>10000</v>
      </c>
      <c r="E6" s="18">
        <v>8040</v>
      </c>
      <c r="F6" s="193"/>
      <c r="G6" s="16">
        <f>IF(Dashboard!$D$60="100-yr",D6,E6)</f>
        <v>10000</v>
      </c>
    </row>
    <row r="7" spans="1:7" ht="15.6" x14ac:dyDescent="0.35">
      <c r="A7" s="15" t="s">
        <v>72</v>
      </c>
      <c r="B7" s="16" t="s">
        <v>73</v>
      </c>
      <c r="C7" s="17">
        <v>1020</v>
      </c>
      <c r="D7" s="17">
        <v>7370</v>
      </c>
      <c r="E7" s="18">
        <v>5310</v>
      </c>
      <c r="F7" s="193"/>
      <c r="G7" s="16">
        <f>IF(Dashboard!$D$60="100-yr",D7,E7)</f>
        <v>7370</v>
      </c>
    </row>
    <row r="8" spans="1:7" ht="15.6" x14ac:dyDescent="0.35">
      <c r="A8" s="20" t="s">
        <v>74</v>
      </c>
      <c r="B8" s="21" t="s">
        <v>75</v>
      </c>
      <c r="C8" s="17">
        <v>16</v>
      </c>
      <c r="D8" s="22">
        <v>1890</v>
      </c>
      <c r="E8" s="23">
        <v>4750</v>
      </c>
      <c r="F8" s="193"/>
      <c r="G8" s="16">
        <f>IF(Dashboard!$D$60="100-yr",D8,E8)</f>
        <v>1890</v>
      </c>
    </row>
    <row r="9" spans="1:7" ht="15.6" x14ac:dyDescent="0.35">
      <c r="A9" s="24" t="s">
        <v>76</v>
      </c>
      <c r="B9" s="25" t="s">
        <v>77</v>
      </c>
      <c r="C9" s="17">
        <v>65</v>
      </c>
      <c r="D9" s="17">
        <v>7140</v>
      </c>
      <c r="E9" s="18">
        <v>8480</v>
      </c>
      <c r="F9" s="193"/>
      <c r="G9" s="16">
        <f>IF(Dashboard!$D$60="100-yr",D9,E9)</f>
        <v>7140</v>
      </c>
    </row>
    <row r="10" spans="1:7" ht="15.6" x14ac:dyDescent="0.35">
      <c r="A10" s="24" t="s">
        <v>78</v>
      </c>
      <c r="B10" s="25" t="s">
        <v>79</v>
      </c>
      <c r="C10" s="17">
        <v>20</v>
      </c>
      <c r="D10" s="17">
        <v>1640</v>
      </c>
      <c r="E10" s="18">
        <v>3680</v>
      </c>
      <c r="F10" s="193"/>
      <c r="G10" s="16">
        <f>IF(Dashboard!$D$60="100-yr",D10,E10)</f>
        <v>1640</v>
      </c>
    </row>
    <row r="11" spans="1:7" ht="15.6" x14ac:dyDescent="0.35">
      <c r="A11" s="24" t="s">
        <v>80</v>
      </c>
      <c r="B11" s="25" t="s">
        <v>81</v>
      </c>
      <c r="C11" s="17">
        <v>26</v>
      </c>
      <c r="D11" s="17">
        <v>1400</v>
      </c>
      <c r="E11" s="18">
        <v>2700</v>
      </c>
      <c r="F11" s="193"/>
      <c r="G11" s="16">
        <f>IF(Dashboard!$D$60="100-yr",D11,E11)</f>
        <v>1400</v>
      </c>
    </row>
    <row r="12" spans="1:7" ht="15.6" x14ac:dyDescent="0.35">
      <c r="A12" s="24" t="s">
        <v>82</v>
      </c>
      <c r="B12" s="25" t="s">
        <v>83</v>
      </c>
      <c r="C12" s="17">
        <v>0.8</v>
      </c>
      <c r="D12" s="17">
        <v>5</v>
      </c>
      <c r="E12" s="18">
        <v>17</v>
      </c>
      <c r="F12" s="193"/>
      <c r="G12" s="16">
        <f>IF(Dashboard!$D$60="100-yr",D12,E12)</f>
        <v>5</v>
      </c>
    </row>
    <row r="13" spans="1:7" ht="15.6" x14ac:dyDescent="0.35">
      <c r="A13" s="24" t="s">
        <v>84</v>
      </c>
      <c r="B13" s="25" t="s">
        <v>85</v>
      </c>
      <c r="C13" s="17">
        <v>5</v>
      </c>
      <c r="D13" s="17">
        <v>146</v>
      </c>
      <c r="E13" s="18">
        <v>506</v>
      </c>
      <c r="F13" s="193"/>
      <c r="G13" s="16">
        <f>IF(Dashboard!$D$60="100-yr",D13,E13)</f>
        <v>146</v>
      </c>
    </row>
    <row r="14" spans="1:7" ht="15.6" x14ac:dyDescent="0.35">
      <c r="A14" s="26" t="s">
        <v>86</v>
      </c>
      <c r="B14" s="27" t="s">
        <v>87</v>
      </c>
      <c r="C14" s="17">
        <v>0.38</v>
      </c>
      <c r="D14" s="28">
        <v>8.6999999999999993</v>
      </c>
      <c r="E14" s="29">
        <v>31</v>
      </c>
      <c r="F14" s="193"/>
      <c r="G14" s="16">
        <f>IF(Dashboard!$D$60="100-yr",D14,E14)</f>
        <v>8.6999999999999993</v>
      </c>
    </row>
    <row r="15" spans="1:7" ht="15.6" x14ac:dyDescent="0.35">
      <c r="A15" s="24" t="s">
        <v>88</v>
      </c>
      <c r="B15" s="16" t="s">
        <v>89</v>
      </c>
      <c r="C15" s="17">
        <v>1.7</v>
      </c>
      <c r="D15" s="17">
        <v>148</v>
      </c>
      <c r="E15" s="18">
        <v>543</v>
      </c>
      <c r="F15" s="193"/>
      <c r="G15" s="16">
        <f>IF(Dashboard!$D$60="100-yr",D15,E15)</f>
        <v>148</v>
      </c>
    </row>
    <row r="16" spans="1:7" ht="15.6" x14ac:dyDescent="0.35">
      <c r="A16" s="24" t="s">
        <v>90</v>
      </c>
      <c r="B16" s="16" t="s">
        <v>91</v>
      </c>
      <c r="C16" s="17">
        <v>11.9</v>
      </c>
      <c r="D16" s="17">
        <v>1810</v>
      </c>
      <c r="E16" s="18">
        <v>5160</v>
      </c>
      <c r="F16" s="193"/>
      <c r="G16" s="16">
        <f>IF(Dashboard!$D$60="100-yr",D16,E16)</f>
        <v>1810</v>
      </c>
    </row>
    <row r="17" spans="1:7" ht="15.6" x14ac:dyDescent="0.35">
      <c r="A17" s="24" t="s">
        <v>92</v>
      </c>
      <c r="B17" s="16" t="s">
        <v>93</v>
      </c>
      <c r="C17" s="17">
        <v>1.3</v>
      </c>
      <c r="D17" s="17">
        <v>77</v>
      </c>
      <c r="E17" s="18">
        <v>273</v>
      </c>
      <c r="F17" s="193"/>
      <c r="G17" s="16">
        <f>IF(Dashboard!$D$60="100-yr",D17,E17)</f>
        <v>77</v>
      </c>
    </row>
    <row r="18" spans="1:7" ht="15.6" x14ac:dyDescent="0.35">
      <c r="A18" s="24" t="s">
        <v>94</v>
      </c>
      <c r="B18" s="16" t="s">
        <v>95</v>
      </c>
      <c r="C18" s="17">
        <v>5.9</v>
      </c>
      <c r="D18" s="17">
        <v>609</v>
      </c>
      <c r="E18" s="18">
        <v>2070</v>
      </c>
      <c r="F18" s="193"/>
      <c r="G18" s="16">
        <f>IF(Dashboard!$D$60="100-yr",D18,E18)</f>
        <v>609</v>
      </c>
    </row>
    <row r="19" spans="1:7" ht="15.6" x14ac:dyDescent="0.35">
      <c r="A19" s="24" t="s">
        <v>96</v>
      </c>
      <c r="B19" s="16" t="s">
        <v>97</v>
      </c>
      <c r="C19" s="17">
        <v>9.1999999999999993</v>
      </c>
      <c r="D19" s="17">
        <v>725</v>
      </c>
      <c r="E19" s="18">
        <v>2250</v>
      </c>
      <c r="F19" s="193"/>
      <c r="G19" s="16">
        <f>IF(Dashboard!$D$60="100-yr",D19,E19)</f>
        <v>725</v>
      </c>
    </row>
    <row r="20" spans="1:7" ht="15.6" x14ac:dyDescent="0.35">
      <c r="A20" s="24" t="s">
        <v>98</v>
      </c>
      <c r="B20" s="16" t="s">
        <v>99</v>
      </c>
      <c r="C20" s="17">
        <v>17.2</v>
      </c>
      <c r="D20" s="17">
        <v>2310</v>
      </c>
      <c r="E20" s="18">
        <v>5490</v>
      </c>
      <c r="F20" s="193"/>
      <c r="G20" s="16">
        <f>IF(Dashboard!$D$60="100-yr",D20,E20)</f>
        <v>2310</v>
      </c>
    </row>
    <row r="21" spans="1:7" ht="15.6" x14ac:dyDescent="0.35">
      <c r="A21" s="24" t="s">
        <v>100</v>
      </c>
      <c r="B21" s="16" t="s">
        <v>101</v>
      </c>
      <c r="C21" s="17">
        <v>1.9</v>
      </c>
      <c r="D21" s="17">
        <v>122</v>
      </c>
      <c r="E21" s="18">
        <v>429</v>
      </c>
      <c r="F21" s="193"/>
      <c r="G21" s="16">
        <f>IF(Dashboard!$D$60="100-yr",D21,E21)</f>
        <v>122</v>
      </c>
    </row>
    <row r="22" spans="1:7" ht="15.6" x14ac:dyDescent="0.35">
      <c r="A22" s="24" t="s">
        <v>102</v>
      </c>
      <c r="B22" s="16" t="s">
        <v>103</v>
      </c>
      <c r="C22" s="17">
        <v>5.9</v>
      </c>
      <c r="D22" s="17">
        <v>595</v>
      </c>
      <c r="E22" s="18">
        <v>2030</v>
      </c>
      <c r="F22" s="193"/>
      <c r="G22" s="16">
        <f>IF(Dashboard!$D$60="100-yr",D22,E22)</f>
        <v>595</v>
      </c>
    </row>
    <row r="23" spans="1:7" ht="15.6" x14ac:dyDescent="0.35">
      <c r="A23" s="30" t="s">
        <v>104</v>
      </c>
      <c r="B23" s="16" t="s">
        <v>105</v>
      </c>
      <c r="C23" s="17" t="s">
        <v>106</v>
      </c>
      <c r="D23" s="17">
        <v>1</v>
      </c>
      <c r="E23" s="18">
        <v>1</v>
      </c>
      <c r="F23" s="16"/>
      <c r="G23" s="16">
        <f>IF(Dashboard!$D$60="100-yr",D23,E23)</f>
        <v>1</v>
      </c>
    </row>
    <row r="24" spans="1:7" ht="15.6" x14ac:dyDescent="0.35">
      <c r="A24" s="30" t="s">
        <v>107</v>
      </c>
      <c r="B24" s="16" t="s">
        <v>108</v>
      </c>
      <c r="C24" s="17">
        <v>12</v>
      </c>
      <c r="D24" s="17">
        <v>25</v>
      </c>
      <c r="E24" s="18">
        <v>72</v>
      </c>
      <c r="F24" s="16"/>
      <c r="G24" s="16">
        <f>IF(Dashboard!$D$60="100-yr",D24,E24)</f>
        <v>25</v>
      </c>
    </row>
    <row r="25" spans="1:7" ht="15.6" x14ac:dyDescent="0.35">
      <c r="A25" s="30" t="s">
        <v>109</v>
      </c>
      <c r="B25" s="16" t="s">
        <v>110</v>
      </c>
      <c r="C25" s="17">
        <v>114</v>
      </c>
      <c r="D25" s="17">
        <v>298</v>
      </c>
      <c r="E25" s="18">
        <v>289</v>
      </c>
      <c r="F25" s="16"/>
      <c r="G25" s="16">
        <f>IF(Dashboard!$D$60="100-yr",D25,E25)</f>
        <v>298</v>
      </c>
    </row>
    <row r="26" spans="1:7" ht="15.6" x14ac:dyDescent="0.35">
      <c r="A26" s="24" t="s">
        <v>111</v>
      </c>
      <c r="B26" s="31" t="s">
        <v>112</v>
      </c>
      <c r="C26" s="17">
        <v>260</v>
      </c>
      <c r="D26" s="17">
        <v>14800</v>
      </c>
      <c r="E26" s="18">
        <v>12000</v>
      </c>
      <c r="F26" s="16"/>
      <c r="G26" s="16">
        <f>IF(Dashboard!$D$60="100-yr",D26,E26)</f>
        <v>14800</v>
      </c>
    </row>
    <row r="27" spans="1:7" ht="15.6" x14ac:dyDescent="0.35">
      <c r="A27" s="24" t="s">
        <v>113</v>
      </c>
      <c r="B27" s="31" t="s">
        <v>114</v>
      </c>
      <c r="C27" s="17">
        <v>5</v>
      </c>
      <c r="D27" s="17">
        <v>675</v>
      </c>
      <c r="E27" s="18">
        <v>2330</v>
      </c>
      <c r="F27" s="16"/>
      <c r="G27" s="16">
        <f>IF(Dashboard!$D$60="100-yr",D27,E27)</f>
        <v>675</v>
      </c>
    </row>
    <row r="28" spans="1:7" ht="15.6" x14ac:dyDescent="0.35">
      <c r="A28" s="24" t="s">
        <v>115</v>
      </c>
      <c r="B28" s="31" t="s">
        <v>116</v>
      </c>
      <c r="C28" s="17">
        <v>29</v>
      </c>
      <c r="D28" s="17">
        <v>3500</v>
      </c>
      <c r="E28" s="18">
        <v>6350</v>
      </c>
      <c r="F28" s="16"/>
      <c r="G28" s="16">
        <f>IF(Dashboard!$D$60="100-yr",D28,E28)</f>
        <v>3500</v>
      </c>
    </row>
    <row r="29" spans="1:7" ht="15.6" x14ac:dyDescent="0.35">
      <c r="A29" s="24" t="s">
        <v>117</v>
      </c>
      <c r="B29" s="31" t="s">
        <v>118</v>
      </c>
      <c r="C29" s="17">
        <v>13.8</v>
      </c>
      <c r="D29" s="17">
        <v>1430</v>
      </c>
      <c r="E29" s="18">
        <v>3830</v>
      </c>
      <c r="F29" s="16"/>
      <c r="G29" s="16">
        <f>IF(Dashboard!$D$60="100-yr",D29,E29)</f>
        <v>1430</v>
      </c>
    </row>
    <row r="30" spans="1:7" ht="15.6" x14ac:dyDescent="0.35">
      <c r="A30" s="24" t="s">
        <v>119</v>
      </c>
      <c r="B30" s="31" t="s">
        <v>120</v>
      </c>
      <c r="C30" s="17">
        <v>52</v>
      </c>
      <c r="D30" s="17">
        <v>4470</v>
      </c>
      <c r="E30" s="18">
        <v>5890</v>
      </c>
      <c r="F30" s="16"/>
      <c r="G30" s="16">
        <f>IF(Dashboard!$D$60="100-yr",D30,E30)</f>
        <v>4470</v>
      </c>
    </row>
    <row r="31" spans="1:7" ht="15.6" x14ac:dyDescent="0.35">
      <c r="A31" s="24" t="s">
        <v>121</v>
      </c>
      <c r="B31" s="31" t="s">
        <v>122</v>
      </c>
      <c r="C31" s="17">
        <v>1.4</v>
      </c>
      <c r="D31" s="17">
        <v>124</v>
      </c>
      <c r="E31" s="18">
        <v>437</v>
      </c>
      <c r="F31" s="16"/>
      <c r="G31" s="16">
        <f>IF(Dashboard!$D$60="100-yr",D31,E31)</f>
        <v>124</v>
      </c>
    </row>
    <row r="32" spans="1:7" ht="15.6" x14ac:dyDescent="0.35">
      <c r="A32" s="24" t="s">
        <v>123</v>
      </c>
      <c r="B32" s="32" t="s">
        <v>124</v>
      </c>
      <c r="C32" s="17">
        <v>0.25</v>
      </c>
      <c r="D32" s="17" t="s">
        <v>499</v>
      </c>
      <c r="E32" s="17" t="s">
        <v>499</v>
      </c>
      <c r="F32" s="16"/>
      <c r="G32" s="16" t="str">
        <f>IF(Dashboard!$D$60="100-yr",D32,E32)</f>
        <v>Not Available</v>
      </c>
    </row>
    <row r="33" spans="1:7" ht="15.6" x14ac:dyDescent="0.35">
      <c r="A33" s="24" t="s">
        <v>125</v>
      </c>
      <c r="B33" s="19" t="s">
        <v>126</v>
      </c>
      <c r="C33" s="17">
        <v>33</v>
      </c>
      <c r="D33" s="17">
        <v>3220</v>
      </c>
      <c r="E33" s="18">
        <v>5310</v>
      </c>
      <c r="F33" s="16"/>
      <c r="G33" s="16">
        <f>IF(Dashboard!$D$60="100-yr",D33,E33)</f>
        <v>3220</v>
      </c>
    </row>
    <row r="34" spans="1:7" ht="15.6" x14ac:dyDescent="0.35">
      <c r="A34" s="24" t="s">
        <v>127</v>
      </c>
      <c r="B34" s="25" t="s">
        <v>128</v>
      </c>
      <c r="C34" s="17">
        <v>220</v>
      </c>
      <c r="D34" s="17">
        <v>9810</v>
      </c>
      <c r="E34" s="18">
        <v>8100</v>
      </c>
      <c r="F34" s="16"/>
      <c r="G34" s="16">
        <f>IF(Dashboard!$D$60="100-yr",D34,E34)</f>
        <v>9810</v>
      </c>
    </row>
    <row r="35" spans="1:7" ht="15.6" x14ac:dyDescent="0.35">
      <c r="A35" s="24" t="s">
        <v>129</v>
      </c>
      <c r="B35" s="19" t="s">
        <v>130</v>
      </c>
      <c r="C35" s="17">
        <v>7.2</v>
      </c>
      <c r="D35" s="17">
        <v>1030</v>
      </c>
      <c r="E35" s="18">
        <v>3380</v>
      </c>
      <c r="F35" s="16"/>
      <c r="G35" s="16">
        <f>IF(Dashboard!$D$60="100-yr",D35,E35)</f>
        <v>1030</v>
      </c>
    </row>
    <row r="36" spans="1:7" ht="15.6" x14ac:dyDescent="0.35">
      <c r="A36" s="24" t="s">
        <v>131</v>
      </c>
      <c r="B36" s="19" t="s">
        <v>132</v>
      </c>
      <c r="C36" s="17">
        <v>9.9</v>
      </c>
      <c r="D36" s="17">
        <v>794</v>
      </c>
      <c r="E36" s="18">
        <v>2520</v>
      </c>
      <c r="F36" s="16"/>
      <c r="G36" s="16">
        <f>IF(Dashboard!$D$60="100-yr",D36,E36)</f>
        <v>794</v>
      </c>
    </row>
    <row r="37" spans="1:7" ht="15.6" x14ac:dyDescent="0.35">
      <c r="A37" s="24" t="s">
        <v>133</v>
      </c>
      <c r="B37" s="19" t="s">
        <v>134</v>
      </c>
      <c r="C37" s="17">
        <v>15</v>
      </c>
      <c r="D37" s="17">
        <v>1640</v>
      </c>
      <c r="E37" s="18">
        <v>4140</v>
      </c>
      <c r="F37" s="16"/>
      <c r="G37" s="16">
        <f>IF(Dashboard!$D$60="100-yr",D37,E37)</f>
        <v>1640</v>
      </c>
    </row>
    <row r="38" spans="1:7" ht="15.6" x14ac:dyDescent="0.35">
      <c r="A38" s="24" t="s">
        <v>135</v>
      </c>
      <c r="B38" s="19" t="s">
        <v>136</v>
      </c>
      <c r="C38" s="17">
        <v>5</v>
      </c>
      <c r="D38" s="17">
        <v>390</v>
      </c>
      <c r="E38" s="18">
        <v>1040</v>
      </c>
      <c r="F38" s="16"/>
      <c r="G38" s="16">
        <f>IF(Dashboard!$D$60="100-yr",D38,E38)</f>
        <v>390</v>
      </c>
    </row>
    <row r="39" spans="1:7" ht="15.6" x14ac:dyDescent="0.35">
      <c r="A39" s="24" t="s">
        <v>137</v>
      </c>
      <c r="B39" s="19" t="s">
        <v>138</v>
      </c>
      <c r="C39" s="17">
        <v>0.77</v>
      </c>
      <c r="D39" s="17">
        <v>55</v>
      </c>
      <c r="E39" s="18">
        <v>207</v>
      </c>
      <c r="F39" s="16"/>
      <c r="G39" s="16">
        <f>IF(Dashboard!$D$60="100-yr",D39,E39)</f>
        <v>55</v>
      </c>
    </row>
    <row r="40" spans="1:7" x14ac:dyDescent="0.25">
      <c r="A40" s="24" t="s">
        <v>139</v>
      </c>
      <c r="B40" s="19" t="s">
        <v>140</v>
      </c>
      <c r="C40" s="17">
        <v>0.77</v>
      </c>
      <c r="D40" s="17">
        <v>55</v>
      </c>
      <c r="E40" s="17" t="s">
        <v>499</v>
      </c>
      <c r="F40" s="16"/>
      <c r="G40" s="16">
        <f>IF(Dashboard!$D$60="100-yr",D40,E40)</f>
        <v>55</v>
      </c>
    </row>
    <row r="41" spans="1:7" ht="15.6" x14ac:dyDescent="0.35">
      <c r="A41" s="24" t="s">
        <v>141</v>
      </c>
      <c r="B41" s="25" t="s">
        <v>142</v>
      </c>
      <c r="C41" s="17">
        <v>50000</v>
      </c>
      <c r="D41" s="33">
        <v>7390</v>
      </c>
      <c r="E41" s="34">
        <v>5210</v>
      </c>
      <c r="F41" s="16"/>
      <c r="G41" s="16">
        <f>IF(Dashboard!$D$60="100-yr",D41,E41)</f>
        <v>7390</v>
      </c>
    </row>
    <row r="42" spans="1:7" ht="15.6" x14ac:dyDescent="0.35">
      <c r="A42" s="24" t="s">
        <v>143</v>
      </c>
      <c r="B42" s="25" t="s">
        <v>144</v>
      </c>
      <c r="C42" s="17">
        <v>10000</v>
      </c>
      <c r="D42" s="33">
        <v>12200</v>
      </c>
      <c r="E42" s="34">
        <v>8630</v>
      </c>
      <c r="F42" s="16"/>
      <c r="G42" s="16">
        <f>IF(Dashboard!$D$60="100-yr",D42,E42)</f>
        <v>12200</v>
      </c>
    </row>
    <row r="43" spans="1:7" ht="15.6" x14ac:dyDescent="0.35">
      <c r="A43" s="24" t="s">
        <v>145</v>
      </c>
      <c r="B43" s="25" t="s">
        <v>146</v>
      </c>
      <c r="C43" s="17">
        <v>2600</v>
      </c>
      <c r="D43" s="17">
        <v>8830</v>
      </c>
      <c r="E43" s="18">
        <v>6310</v>
      </c>
      <c r="F43" s="16"/>
      <c r="G43" s="16">
        <f>IF(Dashboard!$D$60="100-yr",D43,E43)</f>
        <v>8830</v>
      </c>
    </row>
    <row r="44" spans="1:7" ht="15.6" x14ac:dyDescent="0.35">
      <c r="A44" s="24" t="s">
        <v>147</v>
      </c>
      <c r="B44" s="25" t="s">
        <v>148</v>
      </c>
      <c r="C44" s="17">
        <v>3200</v>
      </c>
      <c r="D44" s="17">
        <v>10300</v>
      </c>
      <c r="E44" s="18">
        <v>7310</v>
      </c>
      <c r="F44" s="16"/>
      <c r="G44" s="16">
        <f>IF(Dashboard!$D$60="100-yr",D44,E44)</f>
        <v>10300</v>
      </c>
    </row>
    <row r="45" spans="1:7" ht="15.6" x14ac:dyDescent="0.35">
      <c r="A45" s="24" t="s">
        <v>149</v>
      </c>
      <c r="B45" s="25" t="s">
        <v>150</v>
      </c>
      <c r="C45" s="17">
        <v>2600</v>
      </c>
      <c r="D45" s="17">
        <v>8860</v>
      </c>
      <c r="E45" s="18">
        <v>6330</v>
      </c>
      <c r="F45" s="16"/>
      <c r="G45" s="16">
        <f>IF(Dashboard!$D$60="100-yr",D45,E45)</f>
        <v>8860</v>
      </c>
    </row>
    <row r="46" spans="1:7" ht="15.6" x14ac:dyDescent="0.35">
      <c r="A46" s="24" t="s">
        <v>151</v>
      </c>
      <c r="B46" s="25" t="s">
        <v>152</v>
      </c>
      <c r="C46" s="17">
        <v>4100</v>
      </c>
      <c r="D46" s="17">
        <v>9160</v>
      </c>
      <c r="E46" s="18">
        <v>6510</v>
      </c>
      <c r="F46" s="16"/>
      <c r="G46" s="16">
        <f>IF(Dashboard!$D$60="100-yr",D46,E46)</f>
        <v>9160</v>
      </c>
    </row>
    <row r="47" spans="1:7" ht="15.6" x14ac:dyDescent="0.35">
      <c r="A47" s="24" t="s">
        <v>153</v>
      </c>
      <c r="B47" s="25" t="s">
        <v>154</v>
      </c>
      <c r="C47" s="17">
        <v>3200</v>
      </c>
      <c r="D47" s="17">
        <v>9300</v>
      </c>
      <c r="E47" s="18">
        <v>6600</v>
      </c>
      <c r="F47" s="16"/>
      <c r="G47" s="16">
        <f>IF(Dashboard!$D$60="100-yr",D47,E47)</f>
        <v>9300</v>
      </c>
    </row>
    <row r="48" spans="1:7" ht="15.6" x14ac:dyDescent="0.35">
      <c r="A48" s="24" t="s">
        <v>155</v>
      </c>
      <c r="B48" s="25" t="s">
        <v>156</v>
      </c>
      <c r="C48" s="17" t="s">
        <v>157</v>
      </c>
      <c r="D48" s="17" t="s">
        <v>158</v>
      </c>
      <c r="E48" s="18" t="s">
        <v>159</v>
      </c>
      <c r="F48" s="16"/>
      <c r="G48" s="16" t="str">
        <f>IF(Dashboard!$D$60="100-yr",D48,E48)</f>
        <v>&gt;7500</v>
      </c>
    </row>
    <row r="49" spans="1:7" ht="15.6" x14ac:dyDescent="0.35">
      <c r="A49" s="24" t="s">
        <v>160</v>
      </c>
      <c r="B49" s="25" t="s">
        <v>161</v>
      </c>
      <c r="C49" s="17">
        <v>3200</v>
      </c>
      <c r="D49" s="17">
        <v>22800</v>
      </c>
      <c r="E49" s="18">
        <v>16300</v>
      </c>
      <c r="F49" s="16"/>
      <c r="G49" s="16">
        <f>IF(Dashboard!$D$60="100-yr",D49,E49)</f>
        <v>22800</v>
      </c>
    </row>
    <row r="50" spans="1:7" ht="15.6" x14ac:dyDescent="0.35">
      <c r="A50" s="24" t="s">
        <v>162</v>
      </c>
      <c r="B50" s="16" t="s">
        <v>163</v>
      </c>
      <c r="C50" s="17">
        <v>740</v>
      </c>
      <c r="D50" s="17">
        <v>17200</v>
      </c>
      <c r="E50" s="18">
        <v>12300</v>
      </c>
      <c r="F50" s="16"/>
      <c r="G50" s="16">
        <f>IF(Dashboard!$D$60="100-yr",D50,E50)</f>
        <v>17200</v>
      </c>
    </row>
    <row r="51" spans="1:7" ht="23.1" customHeight="1" x14ac:dyDescent="0.35">
      <c r="A51" s="26" t="s">
        <v>164</v>
      </c>
      <c r="B51" s="27" t="s">
        <v>165</v>
      </c>
      <c r="C51" s="17">
        <v>36</v>
      </c>
      <c r="D51" s="17" t="s">
        <v>499</v>
      </c>
      <c r="E51" s="17" t="s">
        <v>499</v>
      </c>
      <c r="F51" s="16"/>
      <c r="G51" s="16" t="str">
        <f>IF(Dashboard!$D$60="100-yr",D51,E51)</f>
        <v>Not Available</v>
      </c>
    </row>
    <row r="52" spans="1:7" ht="28.8" x14ac:dyDescent="0.35">
      <c r="A52" s="26" t="s">
        <v>166</v>
      </c>
      <c r="B52" s="35" t="s">
        <v>167</v>
      </c>
      <c r="C52" s="17">
        <v>800</v>
      </c>
      <c r="D52" s="28">
        <v>17700</v>
      </c>
      <c r="E52" s="17" t="s">
        <v>499</v>
      </c>
      <c r="F52" s="16"/>
      <c r="G52" s="16">
        <f>IF(Dashboard!$D$60="100-yr",D52,E52)</f>
        <v>17700</v>
      </c>
    </row>
    <row r="53" spans="1:7" ht="14.4" x14ac:dyDescent="0.3">
      <c r="A53" s="15" t="s">
        <v>168</v>
      </c>
      <c r="B53" s="32" t="s">
        <v>169</v>
      </c>
      <c r="C53" s="17">
        <v>5.0000000000000001E-3</v>
      </c>
      <c r="D53" s="17">
        <v>1</v>
      </c>
      <c r="E53" s="18">
        <v>1</v>
      </c>
      <c r="F53" s="16"/>
      <c r="G53" s="16">
        <f>IF(Dashboard!$D$60="100-yr",D53,E53)</f>
        <v>1</v>
      </c>
    </row>
    <row r="54" spans="1:7" ht="15.6" x14ac:dyDescent="0.35">
      <c r="A54" s="15" t="s">
        <v>170</v>
      </c>
      <c r="B54" s="32" t="s">
        <v>171</v>
      </c>
      <c r="C54" s="17">
        <v>5.0000000000000001E-3</v>
      </c>
      <c r="D54" s="17">
        <v>1</v>
      </c>
      <c r="E54" s="18">
        <v>1</v>
      </c>
      <c r="F54" s="16"/>
      <c r="G54" s="16">
        <f>IF(Dashboard!$D$60="100-yr",D54,E54)</f>
        <v>1</v>
      </c>
    </row>
    <row r="55" spans="1:7" ht="42" x14ac:dyDescent="0.35">
      <c r="A55" s="15" t="s">
        <v>172</v>
      </c>
      <c r="B55" s="36" t="s">
        <v>173</v>
      </c>
      <c r="C55" s="37"/>
      <c r="D55" s="17">
        <v>1221</v>
      </c>
      <c r="E55" s="17" t="s">
        <v>499</v>
      </c>
      <c r="F55" s="16"/>
      <c r="G55" s="16">
        <f>IF(Dashboard!$D$60="100-yr",D55,E55)</f>
        <v>1221</v>
      </c>
    </row>
    <row r="56" spans="1:7" ht="44.4" x14ac:dyDescent="0.35">
      <c r="A56" s="15" t="s">
        <v>174</v>
      </c>
      <c r="B56" s="38" t="s">
        <v>175</v>
      </c>
      <c r="C56" s="37"/>
      <c r="D56" s="17">
        <v>1101</v>
      </c>
      <c r="E56" s="17" t="s">
        <v>499</v>
      </c>
      <c r="F56" s="16"/>
      <c r="G56" s="16">
        <f>IF(Dashboard!$D$60="100-yr",D56,E56)</f>
        <v>1101</v>
      </c>
    </row>
    <row r="57" spans="1:7" ht="26.4" x14ac:dyDescent="0.25">
      <c r="A57" s="15" t="s">
        <v>176</v>
      </c>
      <c r="B57" s="38" t="s">
        <v>177</v>
      </c>
      <c r="C57" s="37"/>
      <c r="D57" s="39">
        <v>1606</v>
      </c>
      <c r="E57" s="17" t="s">
        <v>499</v>
      </c>
      <c r="F57" s="16"/>
      <c r="G57" s="16">
        <f>IF(Dashboard!$D$60="100-yr",D57,E57)</f>
        <v>1606</v>
      </c>
    </row>
    <row r="58" spans="1:7" ht="50.1" customHeight="1" x14ac:dyDescent="0.25">
      <c r="A58" s="15" t="s">
        <v>178</v>
      </c>
      <c r="B58" s="38" t="s">
        <v>179</v>
      </c>
      <c r="C58" s="37"/>
      <c r="D58" s="39">
        <v>1568.6</v>
      </c>
      <c r="E58" s="17" t="s">
        <v>499</v>
      </c>
      <c r="F58" s="16"/>
      <c r="G58" s="16">
        <f>IF(Dashboard!$D$60="100-yr",D58,E58)</f>
        <v>1568.6</v>
      </c>
    </row>
    <row r="59" spans="1:7" ht="57" customHeight="1" x14ac:dyDescent="0.25">
      <c r="A59" s="15" t="s">
        <v>180</v>
      </c>
      <c r="B59" s="38" t="s">
        <v>181</v>
      </c>
      <c r="C59" s="37"/>
      <c r="D59" s="39">
        <v>1081.29</v>
      </c>
      <c r="E59" s="17" t="s">
        <v>499</v>
      </c>
      <c r="F59" s="16"/>
      <c r="G59" s="16">
        <f>IF(Dashboard!$D$60="100-yr",D59,E59)</f>
        <v>1081.29</v>
      </c>
    </row>
    <row r="60" spans="1:7" ht="52.35" customHeight="1" x14ac:dyDescent="0.25">
      <c r="A60" s="41" t="s">
        <v>182</v>
      </c>
      <c r="B60" s="38" t="s">
        <v>183</v>
      </c>
      <c r="C60" s="37"/>
      <c r="D60" s="37">
        <v>1730.4999999999998</v>
      </c>
      <c r="E60" s="17" t="s">
        <v>499</v>
      </c>
      <c r="F60" s="16"/>
      <c r="G60" s="16">
        <f>IF(Dashboard!$D$60="100-yr",D60,E60)</f>
        <v>1730.4999999999998</v>
      </c>
    </row>
    <row r="61" spans="1:7" ht="57" customHeight="1" x14ac:dyDescent="0.25">
      <c r="A61" s="15" t="s">
        <v>184</v>
      </c>
      <c r="B61" s="38" t="s">
        <v>185</v>
      </c>
      <c r="C61" s="37"/>
      <c r="D61" s="37">
        <v>1892.7199999999998</v>
      </c>
      <c r="E61" s="17" t="s">
        <v>499</v>
      </c>
      <c r="F61" s="16"/>
      <c r="G61" s="16">
        <f>IF(Dashboard!$D$60="100-yr",D61,E61)</f>
        <v>1892.7199999999998</v>
      </c>
    </row>
    <row r="62" spans="1:7" ht="67.349999999999994" customHeight="1" x14ac:dyDescent="0.25">
      <c r="A62" s="15" t="s">
        <v>186</v>
      </c>
      <c r="B62" s="38" t="s">
        <v>187</v>
      </c>
      <c r="C62" s="37"/>
      <c r="D62" s="37">
        <v>2376.7199999999998</v>
      </c>
      <c r="E62" s="17" t="s">
        <v>499</v>
      </c>
      <c r="F62" s="16"/>
      <c r="G62" s="16">
        <f>IF(Dashboard!$D$60="100-yr",D62,E62)</f>
        <v>2376.7199999999998</v>
      </c>
    </row>
    <row r="63" spans="1:7" ht="59.85" customHeight="1" x14ac:dyDescent="0.25">
      <c r="A63" s="15" t="s">
        <v>188</v>
      </c>
      <c r="B63" s="38" t="s">
        <v>189</v>
      </c>
      <c r="C63" s="37"/>
      <c r="D63" s="39">
        <v>1809.4250000000002</v>
      </c>
      <c r="E63" s="40">
        <v>4256.3410000000003</v>
      </c>
      <c r="F63" s="16"/>
      <c r="G63" s="16">
        <f>IF(Dashboard!$D$60="100-yr",D63,E63)</f>
        <v>1809.4250000000002</v>
      </c>
    </row>
    <row r="64" spans="1:7" ht="59.85" customHeight="1" x14ac:dyDescent="0.25">
      <c r="A64" s="15" t="s">
        <v>190</v>
      </c>
      <c r="B64" s="38" t="s">
        <v>191</v>
      </c>
      <c r="C64" s="37"/>
      <c r="D64" s="39">
        <v>124</v>
      </c>
      <c r="E64" s="40">
        <v>437</v>
      </c>
      <c r="F64" s="16"/>
      <c r="G64" s="16">
        <f>IF(Dashboard!$D$60="100-yr",D64,E64)</f>
        <v>124</v>
      </c>
    </row>
    <row r="65" spans="1:7" ht="59.85" customHeight="1" x14ac:dyDescent="0.25">
      <c r="A65" s="15" t="s">
        <v>192</v>
      </c>
      <c r="B65" s="38" t="s">
        <v>193</v>
      </c>
      <c r="C65" s="37"/>
      <c r="D65" s="17" t="s">
        <v>499</v>
      </c>
      <c r="E65" s="17" t="s">
        <v>499</v>
      </c>
      <c r="F65" s="16"/>
      <c r="G65" s="16" t="str">
        <f>IF(Dashboard!$D$60="100-yr",D65,E65)</f>
        <v>Not Available</v>
      </c>
    </row>
    <row r="66" spans="1:7" ht="39.6" x14ac:dyDescent="0.25">
      <c r="A66" s="15" t="s">
        <v>194</v>
      </c>
      <c r="B66" s="38" t="s">
        <v>195</v>
      </c>
      <c r="C66" s="37"/>
      <c r="D66" s="39">
        <v>3141.1255000000001</v>
      </c>
      <c r="E66" s="40">
        <v>6029.0649999999996</v>
      </c>
      <c r="F66" s="16"/>
      <c r="G66" s="16">
        <f>IF(Dashboard!$D$60="100-yr",D66,E66)</f>
        <v>3141.1255000000001</v>
      </c>
    </row>
    <row r="67" spans="1:7" ht="39.6" x14ac:dyDescent="0.25">
      <c r="A67" s="15" t="s">
        <v>196</v>
      </c>
      <c r="B67" s="38" t="s">
        <v>197</v>
      </c>
      <c r="C67" s="37"/>
      <c r="D67" s="39">
        <v>2375.1999999999998</v>
      </c>
      <c r="E67" s="40">
        <v>5265.85</v>
      </c>
      <c r="F67" s="16"/>
      <c r="G67" s="16">
        <f>IF(Dashboard!$D$60="100-yr",D67,E67)</f>
        <v>2375.1999999999998</v>
      </c>
    </row>
    <row r="68" spans="1:7" ht="51.6" customHeight="1" x14ac:dyDescent="0.25">
      <c r="A68" s="15" t="s">
        <v>198</v>
      </c>
      <c r="B68" s="38" t="s">
        <v>199</v>
      </c>
      <c r="C68" s="37"/>
      <c r="D68" s="17">
        <v>1182.48</v>
      </c>
      <c r="E68" s="18">
        <v>3495.4100000000003</v>
      </c>
      <c r="F68" s="16"/>
      <c r="G68" s="16">
        <f>IF(Dashboard!$D$60="100-yr",D68,E68)</f>
        <v>1182.48</v>
      </c>
    </row>
    <row r="69" spans="1:7" ht="52.8" x14ac:dyDescent="0.25">
      <c r="A69" s="15" t="s">
        <v>200</v>
      </c>
      <c r="B69" s="38" t="s">
        <v>201</v>
      </c>
      <c r="C69" s="37"/>
      <c r="D69" s="17">
        <v>1288.26</v>
      </c>
      <c r="E69" s="18">
        <v>3775.27</v>
      </c>
      <c r="F69" s="16"/>
      <c r="G69" s="16">
        <f>IF(Dashboard!$D$60="100-yr",D69,E69)</f>
        <v>1288.26</v>
      </c>
    </row>
    <row r="70" spans="1:7" ht="55.5" customHeight="1" x14ac:dyDescent="0.25">
      <c r="A70" s="15" t="s">
        <v>202</v>
      </c>
      <c r="B70" s="38" t="s">
        <v>203</v>
      </c>
      <c r="C70" s="37"/>
      <c r="D70" s="17">
        <v>932.58</v>
      </c>
      <c r="E70" s="18">
        <v>2844.7500000000005</v>
      </c>
      <c r="F70" s="16"/>
      <c r="G70" s="16">
        <f>IF(Dashboard!$D$60="100-yr",D70,E70)</f>
        <v>932.58</v>
      </c>
    </row>
    <row r="71" spans="1:7" ht="39.6" x14ac:dyDescent="0.25">
      <c r="A71" s="15" t="s">
        <v>204</v>
      </c>
      <c r="B71" s="38" t="s">
        <v>205</v>
      </c>
      <c r="C71" s="37"/>
      <c r="D71" s="17">
        <v>2788</v>
      </c>
      <c r="E71" s="18">
        <v>5770.866</v>
      </c>
      <c r="F71" s="16"/>
      <c r="G71" s="16">
        <f>IF(Dashboard!$D$60="100-yr",D71,E71)</f>
        <v>2788</v>
      </c>
    </row>
    <row r="72" spans="1:7" ht="39.6" x14ac:dyDescent="0.25">
      <c r="A72" s="15" t="s">
        <v>206</v>
      </c>
      <c r="B72" s="38" t="s">
        <v>207</v>
      </c>
      <c r="C72" s="37"/>
      <c r="D72" s="17">
        <v>2416</v>
      </c>
      <c r="E72" s="18">
        <v>5509.0659999999998</v>
      </c>
      <c r="F72" s="16"/>
      <c r="G72" s="16">
        <f>IF(Dashboard!$D$60="100-yr",D72,E72)</f>
        <v>2416</v>
      </c>
    </row>
    <row r="73" spans="1:7" ht="39.6" x14ac:dyDescent="0.25">
      <c r="A73" s="15" t="s">
        <v>208</v>
      </c>
      <c r="B73" s="38" t="s">
        <v>209</v>
      </c>
      <c r="C73" s="37"/>
      <c r="D73" s="17">
        <v>4458</v>
      </c>
      <c r="E73" s="18">
        <v>5350.665</v>
      </c>
      <c r="F73" s="16"/>
      <c r="G73" s="16">
        <f>IF(Dashboard!$D$60="100-yr",D73,E73)</f>
        <v>4458</v>
      </c>
    </row>
    <row r="74" spans="1:7" ht="66" x14ac:dyDescent="0.25">
      <c r="A74" s="15" t="s">
        <v>210</v>
      </c>
      <c r="B74" s="38" t="s">
        <v>211</v>
      </c>
      <c r="C74" s="37" t="s">
        <v>212</v>
      </c>
      <c r="D74" s="37">
        <v>3921.6000000000004</v>
      </c>
      <c r="E74" s="42">
        <v>6010</v>
      </c>
      <c r="F74" s="16"/>
      <c r="G74" s="16">
        <f>IF(Dashboard!$D$60="100-yr",D74,E74)</f>
        <v>3921.6000000000004</v>
      </c>
    </row>
    <row r="75" spans="1:7" ht="39.6" x14ac:dyDescent="0.25">
      <c r="A75" s="15" t="s">
        <v>213</v>
      </c>
      <c r="B75" s="38" t="s">
        <v>214</v>
      </c>
      <c r="C75" s="37"/>
      <c r="D75" s="37">
        <v>1942.7199999999998</v>
      </c>
      <c r="E75" s="42">
        <v>5089.0200000000004</v>
      </c>
      <c r="F75" s="16"/>
      <c r="G75" s="16">
        <f>IF(Dashboard!$D$60="100-yr",D75,E75)</f>
        <v>1942.7199999999998</v>
      </c>
    </row>
    <row r="76" spans="1:7" ht="52.8" x14ac:dyDescent="0.25">
      <c r="A76" s="15" t="s">
        <v>215</v>
      </c>
      <c r="B76" s="38" t="s">
        <v>216</v>
      </c>
      <c r="C76" s="37" t="s">
        <v>217</v>
      </c>
      <c r="D76" s="37">
        <v>2107</v>
      </c>
      <c r="E76" s="42">
        <v>4538</v>
      </c>
      <c r="F76" s="16"/>
      <c r="G76" s="16">
        <f>IF(Dashboard!$D$60="100-yr",D76,E76)</f>
        <v>2107</v>
      </c>
    </row>
    <row r="77" spans="1:7" ht="39.6" x14ac:dyDescent="0.25">
      <c r="A77" s="15" t="s">
        <v>218</v>
      </c>
      <c r="B77" s="38" t="s">
        <v>219</v>
      </c>
      <c r="C77" s="37"/>
      <c r="D77" s="37">
        <v>2245</v>
      </c>
      <c r="E77" s="42">
        <v>4494</v>
      </c>
      <c r="F77" s="16"/>
      <c r="G77" s="16">
        <f>IF(Dashboard!$D$60="100-yr",D77,E77)</f>
        <v>2245</v>
      </c>
    </row>
    <row r="78" spans="1:7" ht="39.6" x14ac:dyDescent="0.25">
      <c r="A78" s="15" t="s">
        <v>220</v>
      </c>
      <c r="B78" s="38" t="s">
        <v>221</v>
      </c>
      <c r="C78" s="37"/>
      <c r="D78" s="17">
        <v>1773.85</v>
      </c>
      <c r="E78" s="18">
        <v>4115</v>
      </c>
      <c r="F78" s="16"/>
      <c r="G78" s="16">
        <f>IF(Dashboard!$D$60="100-yr",D78,E78)</f>
        <v>1773.85</v>
      </c>
    </row>
    <row r="79" spans="1:7" ht="39.6" x14ac:dyDescent="0.25">
      <c r="A79" s="15" t="s">
        <v>222</v>
      </c>
      <c r="B79" s="38" t="s">
        <v>223</v>
      </c>
      <c r="C79" s="37"/>
      <c r="D79" s="43">
        <v>1627.25</v>
      </c>
      <c r="E79" s="44">
        <v>3983</v>
      </c>
      <c r="F79" s="16"/>
      <c r="G79" s="16">
        <f>IF(Dashboard!$D$60="100-yr",D79,E79)</f>
        <v>1627.25</v>
      </c>
    </row>
    <row r="80" spans="1:7" ht="39.6" x14ac:dyDescent="0.25">
      <c r="A80" s="15" t="s">
        <v>224</v>
      </c>
      <c r="B80" s="38" t="s">
        <v>225</v>
      </c>
      <c r="C80" s="37"/>
      <c r="D80" s="17">
        <v>1824.5</v>
      </c>
      <c r="E80" s="18">
        <v>4136</v>
      </c>
      <c r="F80" s="16"/>
      <c r="G80" s="16">
        <f>IF(Dashboard!$D$60="100-yr",D80,E80)</f>
        <v>1824.5</v>
      </c>
    </row>
    <row r="81" spans="1:7" ht="39.6" x14ac:dyDescent="0.25">
      <c r="A81" s="15" t="s">
        <v>226</v>
      </c>
      <c r="B81" s="38" t="s">
        <v>227</v>
      </c>
      <c r="C81" s="37"/>
      <c r="D81" s="17">
        <v>1495.125</v>
      </c>
      <c r="E81" s="18">
        <v>3720.5</v>
      </c>
      <c r="F81" s="16"/>
      <c r="G81" s="16">
        <f>IF(Dashboard!$D$60="100-yr",D81,E81)</f>
        <v>1495.125</v>
      </c>
    </row>
    <row r="82" spans="1:7" ht="39.6" x14ac:dyDescent="0.25">
      <c r="A82" s="15" t="s">
        <v>228</v>
      </c>
      <c r="B82" s="38" t="s">
        <v>229</v>
      </c>
      <c r="C82" s="37"/>
      <c r="D82" s="17">
        <v>3151.9000000000005</v>
      </c>
      <c r="E82" s="18">
        <v>5579.1</v>
      </c>
      <c r="F82" s="16"/>
      <c r="G82" s="16">
        <f>IF(Dashboard!$D$60="100-yr",D82,E82)</f>
        <v>3151.9000000000005</v>
      </c>
    </row>
    <row r="83" spans="1:7" ht="55.35" customHeight="1" x14ac:dyDescent="0.25">
      <c r="A83" s="15" t="s">
        <v>230</v>
      </c>
      <c r="B83" s="38" t="s">
        <v>231</v>
      </c>
      <c r="C83" s="37"/>
      <c r="D83" s="39">
        <v>1585</v>
      </c>
      <c r="E83" s="40">
        <v>4437</v>
      </c>
      <c r="F83" s="16"/>
      <c r="G83" s="16">
        <f>IF(Dashboard!$D$60="100-yr",D83,E83)</f>
        <v>1585</v>
      </c>
    </row>
    <row r="84" spans="1:7" ht="52.8" x14ac:dyDescent="0.25">
      <c r="A84" s="15" t="s">
        <v>232</v>
      </c>
      <c r="B84" s="38" t="s">
        <v>233</v>
      </c>
      <c r="C84" s="37" t="s">
        <v>217</v>
      </c>
      <c r="D84" s="37">
        <v>2087.5</v>
      </c>
      <c r="E84" s="42">
        <v>4340</v>
      </c>
      <c r="F84" s="16"/>
      <c r="G84" s="16">
        <f>IF(Dashboard!$D$60="100-yr",D84,E84)</f>
        <v>2087.5</v>
      </c>
    </row>
    <row r="85" spans="1:7" ht="52.8" x14ac:dyDescent="0.25">
      <c r="A85" s="15" t="s">
        <v>234</v>
      </c>
      <c r="B85" s="38" t="s">
        <v>235</v>
      </c>
      <c r="C85" s="37" t="s">
        <v>217</v>
      </c>
      <c r="D85" s="37">
        <v>2228.75</v>
      </c>
      <c r="E85" s="42">
        <v>4541</v>
      </c>
      <c r="F85" s="16"/>
      <c r="G85" s="16">
        <f>IF(Dashboard!$D$60="100-yr",D85,E85)</f>
        <v>2228.75</v>
      </c>
    </row>
    <row r="86" spans="1:7" ht="39.6" x14ac:dyDescent="0.25">
      <c r="A86" s="41" t="s">
        <v>236</v>
      </c>
      <c r="B86" s="38" t="s">
        <v>237</v>
      </c>
      <c r="C86" s="37"/>
      <c r="D86" s="37">
        <v>1597.4350000000002</v>
      </c>
      <c r="E86" s="42">
        <v>4563.1149999999998</v>
      </c>
      <c r="F86" s="16"/>
      <c r="G86" s="16">
        <f>IF(Dashboard!$D$60="100-yr",D86,E86)</f>
        <v>1597.4350000000002</v>
      </c>
    </row>
    <row r="87" spans="1:7" ht="39.6" x14ac:dyDescent="0.25">
      <c r="A87" s="41" t="s">
        <v>238</v>
      </c>
      <c r="B87" s="38" t="s">
        <v>239</v>
      </c>
      <c r="C87" s="37"/>
      <c r="D87" s="37">
        <v>1705.2099999999998</v>
      </c>
      <c r="E87" s="42">
        <v>4863.5999999999995</v>
      </c>
      <c r="F87" s="16"/>
      <c r="G87" s="16">
        <f>IF(Dashboard!$D$60="100-yr",D87,E87)</f>
        <v>1705.2099999999998</v>
      </c>
    </row>
    <row r="88" spans="1:7" ht="39.6" x14ac:dyDescent="0.25">
      <c r="A88" s="15" t="s">
        <v>240</v>
      </c>
      <c r="B88" s="38" t="s">
        <v>241</v>
      </c>
      <c r="C88" s="37"/>
      <c r="D88" s="39">
        <v>2053</v>
      </c>
      <c r="E88" s="40">
        <v>3938.4500000000003</v>
      </c>
      <c r="F88" s="16"/>
      <c r="G88" s="16">
        <f>IF(Dashboard!$D$60="100-yr",D88,E88)</f>
        <v>2053</v>
      </c>
    </row>
    <row r="89" spans="1:7" ht="52.8" x14ac:dyDescent="0.25">
      <c r="A89" s="41" t="s">
        <v>242</v>
      </c>
      <c r="B89" s="38" t="s">
        <v>243</v>
      </c>
      <c r="C89" s="37"/>
      <c r="D89" s="39">
        <v>1478</v>
      </c>
      <c r="E89" s="40">
        <v>3768.42</v>
      </c>
      <c r="F89" s="16"/>
      <c r="G89" s="16">
        <f>IF(Dashboard!$D$60="100-yr",D89,E89)</f>
        <v>1478</v>
      </c>
    </row>
    <row r="90" spans="1:7" ht="52.8" x14ac:dyDescent="0.25">
      <c r="A90" s="15" t="s">
        <v>244</v>
      </c>
      <c r="B90" s="38" t="s">
        <v>245</v>
      </c>
      <c r="C90" s="37"/>
      <c r="D90" s="39">
        <v>1362</v>
      </c>
      <c r="E90" s="40">
        <v>3898.5450000000001</v>
      </c>
      <c r="F90" s="16"/>
      <c r="G90" s="16">
        <f>IF(Dashboard!$D$60="100-yr",D90,E90)</f>
        <v>1362</v>
      </c>
    </row>
    <row r="91" spans="1:7" ht="52.8" x14ac:dyDescent="0.25">
      <c r="A91" s="15" t="s">
        <v>246</v>
      </c>
      <c r="B91" s="38" t="s">
        <v>247</v>
      </c>
      <c r="C91" s="37"/>
      <c r="D91" s="39">
        <v>1084.3</v>
      </c>
      <c r="E91" s="40">
        <v>3077.395</v>
      </c>
      <c r="F91" s="16"/>
      <c r="G91" s="16">
        <f>IF(Dashboard!$D$60="100-yr",D91,E91)</f>
        <v>1084.3</v>
      </c>
    </row>
    <row r="92" spans="1:7" ht="39.6" x14ac:dyDescent="0.25">
      <c r="A92" s="15" t="s">
        <v>248</v>
      </c>
      <c r="B92" s="38" t="s">
        <v>249</v>
      </c>
      <c r="C92" s="37"/>
      <c r="D92" s="39">
        <v>2346.1019999999999</v>
      </c>
      <c r="E92" s="40">
        <v>4874.2020000000002</v>
      </c>
      <c r="F92" s="16"/>
      <c r="G92" s="16">
        <f>IF(Dashboard!$D$60="100-yr",D92,E92)</f>
        <v>2346.1019999999999</v>
      </c>
    </row>
    <row r="93" spans="1:7" ht="39.6" x14ac:dyDescent="0.25">
      <c r="A93" s="15" t="s">
        <v>250</v>
      </c>
      <c r="B93" s="38" t="s">
        <v>251</v>
      </c>
      <c r="C93" s="37"/>
      <c r="D93" s="39">
        <v>3026.0574999999999</v>
      </c>
      <c r="E93" s="40">
        <v>5715.5575000000008</v>
      </c>
      <c r="F93" s="16"/>
      <c r="G93" s="16">
        <f>IF(Dashboard!$D$60="100-yr",D93,E93)</f>
        <v>3026.0574999999999</v>
      </c>
    </row>
    <row r="94" spans="1:7" ht="39.6" x14ac:dyDescent="0.25">
      <c r="A94" s="15" t="s">
        <v>252</v>
      </c>
      <c r="B94" s="38" t="s">
        <v>189</v>
      </c>
      <c r="C94" s="37"/>
      <c r="D94" s="39">
        <v>1809.4080000000001</v>
      </c>
      <c r="E94" s="40">
        <v>4256.375</v>
      </c>
      <c r="F94" s="16"/>
      <c r="G94" s="16">
        <f>IF(Dashboard!$D$60="100-yr",D94,E94)</f>
        <v>1809.4080000000001</v>
      </c>
    </row>
    <row r="95" spans="1:7" ht="26.4" x14ac:dyDescent="0.25">
      <c r="A95" s="15" t="s">
        <v>253</v>
      </c>
      <c r="B95" s="38" t="s">
        <v>254</v>
      </c>
      <c r="C95" s="37"/>
      <c r="D95" s="39">
        <v>1535.6000000000001</v>
      </c>
      <c r="E95" s="40">
        <v>4029.2</v>
      </c>
      <c r="F95" s="16"/>
      <c r="G95" s="16">
        <f>IF(Dashboard!$D$60="100-yr",D95,E95)</f>
        <v>1535.6000000000001</v>
      </c>
    </row>
    <row r="96" spans="1:7" ht="26.4" x14ac:dyDescent="0.25">
      <c r="A96" s="41" t="s">
        <v>255</v>
      </c>
      <c r="B96" s="38" t="s">
        <v>256</v>
      </c>
      <c r="C96" s="37"/>
      <c r="D96" s="39">
        <v>2630.6</v>
      </c>
      <c r="E96" s="40">
        <v>5291.5999999999995</v>
      </c>
      <c r="F96" s="16"/>
      <c r="G96" s="16">
        <f>IF(Dashboard!$D$60="100-yr",D96,E96)</f>
        <v>2630.6</v>
      </c>
    </row>
    <row r="97" spans="1:7" ht="26.4" x14ac:dyDescent="0.25">
      <c r="A97" s="41" t="s">
        <v>257</v>
      </c>
      <c r="B97" s="38" t="s">
        <v>258</v>
      </c>
      <c r="C97" s="37"/>
      <c r="D97" s="39">
        <v>3189.5</v>
      </c>
      <c r="E97" s="40">
        <v>5972</v>
      </c>
      <c r="F97" s="16"/>
      <c r="G97" s="16">
        <f>IF(Dashboard!$D$60="100-yr",D97,E97)</f>
        <v>3189.5</v>
      </c>
    </row>
    <row r="98" spans="1:7" ht="39.6" x14ac:dyDescent="0.25">
      <c r="A98" s="15" t="s">
        <v>259</v>
      </c>
      <c r="B98" s="38" t="s">
        <v>260</v>
      </c>
      <c r="C98" s="37"/>
      <c r="D98" s="39">
        <v>3143.0519999999997</v>
      </c>
      <c r="E98" s="40">
        <v>5844.4019999999991</v>
      </c>
      <c r="F98" s="16"/>
      <c r="G98" s="16">
        <f>IF(Dashboard!$D$60="100-yr",D98,E98)</f>
        <v>3143.0519999999997</v>
      </c>
    </row>
    <row r="99" spans="1:7" ht="39.6" x14ac:dyDescent="0.25">
      <c r="A99" s="15" t="s">
        <v>261</v>
      </c>
      <c r="B99" s="38" t="s">
        <v>262</v>
      </c>
      <c r="C99" s="37"/>
      <c r="D99" s="39">
        <v>2525.6900000000005</v>
      </c>
      <c r="E99" s="40">
        <v>5101.1900000000005</v>
      </c>
      <c r="F99" s="16"/>
      <c r="G99" s="16">
        <f>IF(Dashboard!$D$60="100-yr",D99,E99)</f>
        <v>2525.6900000000005</v>
      </c>
    </row>
    <row r="100" spans="1:7" ht="39.6" x14ac:dyDescent="0.25">
      <c r="A100" s="15" t="s">
        <v>263</v>
      </c>
      <c r="B100" s="38" t="s">
        <v>264</v>
      </c>
      <c r="C100" s="37"/>
      <c r="D100" s="39">
        <v>3084.59</v>
      </c>
      <c r="E100" s="40">
        <v>5781.59</v>
      </c>
      <c r="F100" s="16"/>
      <c r="G100" s="16">
        <f>IF(Dashboard!$D$60="100-yr",D100,E100)</f>
        <v>3084.59</v>
      </c>
    </row>
    <row r="101" spans="1:7" ht="39.6" x14ac:dyDescent="0.25">
      <c r="A101" s="15" t="s">
        <v>265</v>
      </c>
      <c r="B101" s="38" t="s">
        <v>266</v>
      </c>
      <c r="C101" s="37"/>
      <c r="D101" s="39">
        <v>2729.0519999999997</v>
      </c>
      <c r="E101" s="40">
        <v>5340.402</v>
      </c>
      <c r="F101" s="16"/>
      <c r="G101" s="16">
        <f>IF(Dashboard!$D$60="100-yr",D101,E101)</f>
        <v>2729.0519999999997</v>
      </c>
    </row>
    <row r="102" spans="1:7" ht="39.6" x14ac:dyDescent="0.25">
      <c r="A102" s="15" t="s">
        <v>267</v>
      </c>
      <c r="B102" s="38" t="s">
        <v>268</v>
      </c>
      <c r="C102" s="37"/>
      <c r="D102" s="39">
        <v>2280.25</v>
      </c>
      <c r="E102" s="40">
        <v>4533</v>
      </c>
      <c r="F102" s="16"/>
      <c r="G102" s="16">
        <f>IF(Dashboard!$D$60="100-yr",D102,E102)</f>
        <v>2280.25</v>
      </c>
    </row>
    <row r="103" spans="1:7" ht="66" x14ac:dyDescent="0.25">
      <c r="A103" s="15" t="s">
        <v>269</v>
      </c>
      <c r="B103" s="38" t="s">
        <v>270</v>
      </c>
      <c r="C103" s="37"/>
      <c r="D103" s="39">
        <v>2439.6161000000002</v>
      </c>
      <c r="E103" s="40">
        <v>5006.8661000000002</v>
      </c>
      <c r="F103" s="16"/>
      <c r="G103" s="16">
        <f>IF(Dashboard!$D$60="100-yr",D103,E103)</f>
        <v>2439.6161000000002</v>
      </c>
    </row>
    <row r="104" spans="1:7" ht="52.8" x14ac:dyDescent="0.25">
      <c r="A104" s="15" t="s">
        <v>271</v>
      </c>
      <c r="B104" s="38" t="s">
        <v>272</v>
      </c>
      <c r="C104" s="37"/>
      <c r="D104" s="39">
        <v>1508.47</v>
      </c>
      <c r="E104" s="40">
        <v>3885.82</v>
      </c>
      <c r="F104" s="16"/>
      <c r="G104" s="16">
        <f>IF(Dashboard!$D$60="100-yr",D104,E104)</f>
        <v>1508.47</v>
      </c>
    </row>
    <row r="105" spans="1:7" ht="52.8" x14ac:dyDescent="0.25">
      <c r="A105" s="15" t="s">
        <v>273</v>
      </c>
      <c r="B105" s="38" t="s">
        <v>274</v>
      </c>
      <c r="C105" s="37"/>
      <c r="D105" s="39">
        <v>2138.25</v>
      </c>
      <c r="E105" s="40">
        <v>4441</v>
      </c>
      <c r="F105" s="16"/>
      <c r="G105" s="16">
        <f>IF(Dashboard!$D$60="100-yr",D105,E105)</f>
        <v>2138.25</v>
      </c>
    </row>
    <row r="106" spans="1:7" ht="52.8" x14ac:dyDescent="0.25">
      <c r="A106" s="15" t="s">
        <v>275</v>
      </c>
      <c r="B106" s="38" t="s">
        <v>276</v>
      </c>
      <c r="C106" s="37"/>
      <c r="D106" s="39">
        <v>3607.3598000000002</v>
      </c>
      <c r="E106" s="40">
        <v>6100.1098000000002</v>
      </c>
      <c r="F106" s="16"/>
      <c r="G106" s="16">
        <f>IF(Dashboard!$D$60="100-yr",D106,E106)</f>
        <v>3607.3598000000002</v>
      </c>
    </row>
    <row r="107" spans="1:7" ht="52.8" x14ac:dyDescent="0.25">
      <c r="A107" s="15" t="s">
        <v>277</v>
      </c>
      <c r="B107" s="38" t="s">
        <v>278</v>
      </c>
      <c r="C107" s="37"/>
      <c r="D107" s="39">
        <v>3245.4839999999999</v>
      </c>
      <c r="E107" s="40">
        <v>5686.2839999999997</v>
      </c>
      <c r="F107" s="16"/>
      <c r="G107" s="16">
        <f>IF(Dashboard!$D$60="100-yr",D107,E107)</f>
        <v>3245.4839999999999</v>
      </c>
    </row>
    <row r="108" spans="1:7" ht="26.4" x14ac:dyDescent="0.25">
      <c r="A108" s="15" t="s">
        <v>279</v>
      </c>
      <c r="B108" s="38" t="s">
        <v>280</v>
      </c>
      <c r="C108" s="37"/>
      <c r="D108" s="39">
        <v>5</v>
      </c>
      <c r="E108" s="40">
        <v>5</v>
      </c>
      <c r="F108" s="16"/>
      <c r="G108" s="16">
        <f>IF(Dashboard!$D$60="100-yr",D108,E108)</f>
        <v>5</v>
      </c>
    </row>
    <row r="109" spans="1:7" ht="52.8" x14ac:dyDescent="0.25">
      <c r="A109" s="15" t="s">
        <v>281</v>
      </c>
      <c r="B109" s="38" t="s">
        <v>282</v>
      </c>
      <c r="C109" s="37"/>
      <c r="D109" s="39">
        <v>1805.164</v>
      </c>
      <c r="E109" s="40">
        <v>4244.9139999999998</v>
      </c>
      <c r="F109" s="16"/>
      <c r="G109" s="16">
        <f>IF(Dashboard!$D$60="100-yr",D109,E109)</f>
        <v>1805.164</v>
      </c>
    </row>
    <row r="110" spans="1:7" ht="79.349999999999994" customHeight="1" x14ac:dyDescent="0.25">
      <c r="A110" s="15" t="s">
        <v>283</v>
      </c>
      <c r="B110" s="38" t="s">
        <v>284</v>
      </c>
      <c r="C110" s="37"/>
      <c r="D110" s="39">
        <v>2237.98</v>
      </c>
      <c r="E110" s="40">
        <v>4659.2299999999996</v>
      </c>
      <c r="F110" s="16"/>
      <c r="G110" s="16">
        <f>IF(Dashboard!$D$60="100-yr",D110,E110)</f>
        <v>2237.98</v>
      </c>
    </row>
    <row r="111" spans="1:7" ht="52.8" x14ac:dyDescent="0.25">
      <c r="A111" s="15" t="s">
        <v>285</v>
      </c>
      <c r="B111" s="38" t="s">
        <v>286</v>
      </c>
      <c r="C111" s="37"/>
      <c r="D111" s="39">
        <v>5</v>
      </c>
      <c r="E111" s="40">
        <v>5</v>
      </c>
      <c r="F111" s="16"/>
      <c r="G111" s="16">
        <f>IF(Dashboard!$D$60="100-yr",D111,E111)</f>
        <v>5</v>
      </c>
    </row>
    <row r="112" spans="1:7" ht="79.2" x14ac:dyDescent="0.25">
      <c r="A112" s="15" t="s">
        <v>287</v>
      </c>
      <c r="B112" s="38" t="s">
        <v>288</v>
      </c>
      <c r="C112" s="37"/>
      <c r="D112" s="39">
        <v>1887.97</v>
      </c>
      <c r="E112" s="40">
        <v>4118.41</v>
      </c>
      <c r="F112" s="16"/>
      <c r="G112" s="16">
        <f>IF(Dashboard!$D$60="100-yr",D112,E112)</f>
        <v>1887.97</v>
      </c>
    </row>
    <row r="113" spans="1:7" ht="39.6" x14ac:dyDescent="0.25">
      <c r="A113" s="15" t="s">
        <v>289</v>
      </c>
      <c r="B113" s="38" t="s">
        <v>290</v>
      </c>
      <c r="C113" s="37"/>
      <c r="D113" s="17" t="s">
        <v>499</v>
      </c>
      <c r="E113" s="17" t="s">
        <v>499</v>
      </c>
      <c r="F113" s="16"/>
      <c r="G113" s="16" t="str">
        <f>IF(Dashboard!$D$60="100-yr",D113,E113)</f>
        <v>Not Available</v>
      </c>
    </row>
    <row r="114" spans="1:7" ht="39.6" x14ac:dyDescent="0.25">
      <c r="A114" s="15" t="s">
        <v>291</v>
      </c>
      <c r="B114" s="38" t="s">
        <v>292</v>
      </c>
      <c r="C114" s="37" t="s">
        <v>293</v>
      </c>
      <c r="D114" s="39">
        <v>88.03</v>
      </c>
      <c r="E114" s="40">
        <v>302.27999999999997</v>
      </c>
      <c r="F114" s="16"/>
      <c r="G114" s="16">
        <f>IF(Dashboard!$D$60="100-yr",D114,E114)</f>
        <v>88.03</v>
      </c>
    </row>
    <row r="115" spans="1:7" ht="45.6" customHeight="1" x14ac:dyDescent="0.25">
      <c r="A115" s="15" t="s">
        <v>294</v>
      </c>
      <c r="B115" s="38" t="s">
        <v>295</v>
      </c>
      <c r="C115" s="37" t="s">
        <v>293</v>
      </c>
      <c r="D115" s="39">
        <v>293.01</v>
      </c>
      <c r="E115" s="40">
        <v>1011.135</v>
      </c>
      <c r="F115" s="16"/>
      <c r="G115" s="16">
        <f>IF(Dashboard!$D$60="100-yr",D115,E115)</f>
        <v>293.01</v>
      </c>
    </row>
    <row r="116" spans="1:7" ht="49.5" customHeight="1" x14ac:dyDescent="0.25">
      <c r="A116" s="15" t="s">
        <v>296</v>
      </c>
      <c r="B116" s="38" t="s">
        <v>297</v>
      </c>
      <c r="C116" s="37" t="s">
        <v>293</v>
      </c>
      <c r="D116" s="39">
        <v>129.60999999999999</v>
      </c>
      <c r="E116" s="40">
        <v>345.61</v>
      </c>
      <c r="F116" s="16"/>
      <c r="G116" s="16">
        <f>IF(Dashboard!$D$60="100-yr",D116,E116)</f>
        <v>129.60999999999999</v>
      </c>
    </row>
    <row r="117" spans="1:7" ht="49.5" customHeight="1" x14ac:dyDescent="0.25">
      <c r="A117" s="15" t="s">
        <v>298</v>
      </c>
      <c r="B117" s="38" t="s">
        <v>299</v>
      </c>
      <c r="C117" s="37" t="s">
        <v>293</v>
      </c>
      <c r="D117" s="39">
        <v>459.38000000000005</v>
      </c>
      <c r="E117" s="40">
        <v>1584.78</v>
      </c>
      <c r="F117" s="16"/>
      <c r="G117" s="16">
        <f>IF(Dashboard!$D$60="100-yr",D117,E117)</f>
        <v>459.38000000000005</v>
      </c>
    </row>
    <row r="118" spans="1:7" ht="39.6" x14ac:dyDescent="0.25">
      <c r="A118" s="15" t="s">
        <v>300</v>
      </c>
      <c r="B118" s="38" t="s">
        <v>301</v>
      </c>
      <c r="C118" s="37" t="s">
        <v>293</v>
      </c>
      <c r="D118" s="39">
        <v>600</v>
      </c>
      <c r="E118" s="17" t="s">
        <v>499</v>
      </c>
      <c r="F118" s="16"/>
      <c r="G118" s="16">
        <f>IF(Dashboard!$D$60="100-yr",D118,E118)</f>
        <v>600</v>
      </c>
    </row>
    <row r="119" spans="1:7" ht="39.6" x14ac:dyDescent="0.25">
      <c r="A119" s="15" t="s">
        <v>302</v>
      </c>
      <c r="B119" s="38" t="s">
        <v>303</v>
      </c>
      <c r="C119" s="37"/>
      <c r="D119" s="39">
        <v>739.24</v>
      </c>
      <c r="E119" s="40">
        <v>2092.6400000000003</v>
      </c>
      <c r="F119" s="16"/>
      <c r="G119" s="16">
        <f>IF(Dashboard!$D$60="100-yr",D119,E119)</f>
        <v>739.24</v>
      </c>
    </row>
    <row r="120" spans="1:7" ht="79.2" x14ac:dyDescent="0.25">
      <c r="A120" s="15" t="s">
        <v>304</v>
      </c>
      <c r="B120" s="38" t="s">
        <v>305</v>
      </c>
      <c r="C120" s="37"/>
      <c r="D120" s="39">
        <v>1386.07</v>
      </c>
      <c r="E120" s="40">
        <v>3061.3700000000003</v>
      </c>
      <c r="F120" s="16"/>
      <c r="G120" s="16">
        <f>IF(Dashboard!$D$60="100-yr",D120,E120)</f>
        <v>1386.07</v>
      </c>
    </row>
    <row r="121" spans="1:7" ht="66" x14ac:dyDescent="0.25">
      <c r="A121" s="15" t="s">
        <v>306</v>
      </c>
      <c r="B121" s="38" t="s">
        <v>307</v>
      </c>
      <c r="C121" s="37"/>
      <c r="D121" s="39">
        <v>1396.288</v>
      </c>
      <c r="E121" s="40">
        <v>3119.203</v>
      </c>
      <c r="F121" s="16"/>
      <c r="G121" s="16">
        <f>IF(Dashboard!$D$60="100-yr",D121,E121)</f>
        <v>1396.288</v>
      </c>
    </row>
    <row r="122" spans="1:7" ht="66" x14ac:dyDescent="0.25">
      <c r="A122" s="15" t="s">
        <v>308</v>
      </c>
      <c r="B122" s="38" t="s">
        <v>309</v>
      </c>
      <c r="C122" s="37"/>
      <c r="D122" s="39">
        <v>1411.222</v>
      </c>
      <c r="E122" s="40">
        <v>3176.0320000000002</v>
      </c>
      <c r="F122" s="16"/>
      <c r="G122" s="16">
        <f>IF(Dashboard!$D$60="100-yr",D122,E122)</f>
        <v>1411.222</v>
      </c>
    </row>
    <row r="123" spans="1:7" ht="26.4" x14ac:dyDescent="0.25">
      <c r="A123" s="15" t="s">
        <v>310</v>
      </c>
      <c r="B123" s="38" t="s">
        <v>311</v>
      </c>
      <c r="C123" s="37"/>
      <c r="D123" s="39">
        <v>601.18000000000006</v>
      </c>
      <c r="E123" s="17" t="s">
        <v>499</v>
      </c>
      <c r="F123" s="16"/>
      <c r="G123" s="16">
        <f>IF(Dashboard!$D$60="100-yr",D123,E123)</f>
        <v>601.18000000000006</v>
      </c>
    </row>
    <row r="124" spans="1:7" ht="26.4" x14ac:dyDescent="0.25">
      <c r="A124" s="15" t="s">
        <v>312</v>
      </c>
      <c r="B124" s="38" t="s">
        <v>313</v>
      </c>
      <c r="C124" s="37"/>
      <c r="D124" s="39">
        <v>146.75799999999998</v>
      </c>
      <c r="E124" s="17" t="s">
        <v>499</v>
      </c>
      <c r="F124" s="16"/>
      <c r="G124" s="16">
        <f>IF(Dashboard!$D$60="100-yr",D124,E124)</f>
        <v>146.75799999999998</v>
      </c>
    </row>
    <row r="125" spans="1:7" ht="26.4" x14ac:dyDescent="0.25">
      <c r="A125" s="15" t="s">
        <v>314</v>
      </c>
      <c r="B125" s="38" t="s">
        <v>315</v>
      </c>
      <c r="C125" s="37"/>
      <c r="D125" s="39">
        <v>161.048</v>
      </c>
      <c r="E125" s="17" t="s">
        <v>499</v>
      </c>
      <c r="F125" s="16"/>
      <c r="G125" s="16">
        <f>IF(Dashboard!$D$60="100-yr",D125,E125)</f>
        <v>161.048</v>
      </c>
    </row>
    <row r="126" spans="1:7" ht="44.1" customHeight="1" x14ac:dyDescent="0.25">
      <c r="A126" s="15" t="s">
        <v>316</v>
      </c>
      <c r="B126" s="38" t="s">
        <v>317</v>
      </c>
      <c r="C126" s="37"/>
      <c r="D126" s="39">
        <v>2139.5500000000002</v>
      </c>
      <c r="E126" s="40">
        <v>4003.1000000000004</v>
      </c>
      <c r="F126" s="16"/>
      <c r="G126" s="16">
        <f>IF(Dashboard!$D$60="100-yr",D126,E126)</f>
        <v>2139.5500000000002</v>
      </c>
    </row>
    <row r="127" spans="1:7" ht="47.1" customHeight="1" x14ac:dyDescent="0.25">
      <c r="A127" s="15" t="s">
        <v>318</v>
      </c>
      <c r="B127" s="38" t="s">
        <v>319</v>
      </c>
      <c r="C127" s="37"/>
      <c r="D127" s="39">
        <v>697.51</v>
      </c>
      <c r="E127" s="40">
        <v>2005.8600000000001</v>
      </c>
      <c r="F127" s="16"/>
      <c r="G127" s="16">
        <f>IF(Dashboard!$D$60="100-yr",D127,E127)</f>
        <v>697.51</v>
      </c>
    </row>
    <row r="128" spans="1:7" ht="77.849999999999994" customHeight="1" x14ac:dyDescent="0.25">
      <c r="A128" s="15" t="s">
        <v>320</v>
      </c>
      <c r="B128" s="38" t="s">
        <v>321</v>
      </c>
      <c r="C128" s="37"/>
      <c r="D128" s="39">
        <v>2219.64</v>
      </c>
      <c r="E128" s="40">
        <v>4165.0150000000003</v>
      </c>
      <c r="F128" s="16"/>
      <c r="G128" s="16">
        <f>IF(Dashboard!$D$60="100-yr",D128,E128)</f>
        <v>2219.64</v>
      </c>
    </row>
    <row r="129" spans="1:12" ht="105.6" x14ac:dyDescent="0.25">
      <c r="A129" s="15" t="s">
        <v>322</v>
      </c>
      <c r="B129" s="38" t="s">
        <v>323</v>
      </c>
      <c r="C129" s="37"/>
      <c r="D129" s="39">
        <v>1765.3879999999999</v>
      </c>
      <c r="E129" s="40">
        <v>4062.0880000000002</v>
      </c>
      <c r="F129" s="16"/>
      <c r="G129" s="16">
        <f>IF(Dashboard!$D$60="100-yr",D129,E129)</f>
        <v>1765.3879999999999</v>
      </c>
    </row>
    <row r="130" spans="1:12" ht="26.4" x14ac:dyDescent="0.25">
      <c r="A130" s="15" t="s">
        <v>324</v>
      </c>
      <c r="B130" s="38" t="s">
        <v>325</v>
      </c>
      <c r="C130" s="37"/>
      <c r="D130" s="39">
        <v>239</v>
      </c>
      <c r="E130" s="40">
        <v>816.15</v>
      </c>
      <c r="F130" s="16"/>
      <c r="G130" s="16">
        <f>IF(Dashboard!$D$60="100-yr",D130,E130)</f>
        <v>239</v>
      </c>
    </row>
    <row r="131" spans="1:12" ht="26.4" x14ac:dyDescent="0.25">
      <c r="A131" s="15" t="s">
        <v>326</v>
      </c>
      <c r="B131" s="38" t="s">
        <v>327</v>
      </c>
      <c r="C131" s="37"/>
      <c r="D131" s="39">
        <v>465.99999999999994</v>
      </c>
      <c r="E131" s="40">
        <v>1605.6809999999998</v>
      </c>
      <c r="F131" s="16"/>
      <c r="G131" s="16">
        <f>IF(Dashboard!$D$60="100-yr",D131,E131)</f>
        <v>465.99999999999994</v>
      </c>
    </row>
    <row r="132" spans="1:12" ht="39.6" x14ac:dyDescent="0.25">
      <c r="A132" s="15" t="s">
        <v>328</v>
      </c>
      <c r="B132" s="38" t="s">
        <v>329</v>
      </c>
      <c r="C132" s="37"/>
      <c r="D132" s="17">
        <v>145.91</v>
      </c>
      <c r="E132" s="18">
        <v>501.73500000000001</v>
      </c>
      <c r="F132" s="16"/>
      <c r="G132" s="16">
        <f>IF(Dashboard!$D$60="100-yr",D132,E132)</f>
        <v>145.91</v>
      </c>
    </row>
    <row r="133" spans="1:12" ht="42" x14ac:dyDescent="0.35">
      <c r="A133" s="15" t="s">
        <v>330</v>
      </c>
      <c r="B133" s="38" t="s">
        <v>331</v>
      </c>
      <c r="C133" s="37"/>
      <c r="D133" s="39">
        <v>145.91</v>
      </c>
      <c r="E133" s="40">
        <v>501.73499999999996</v>
      </c>
      <c r="F133" s="16"/>
      <c r="G133" s="16">
        <f>IF(Dashboard!$D$60="100-yr",D133,E133)</f>
        <v>145.91</v>
      </c>
    </row>
    <row r="134" spans="1:12" ht="38.1" customHeight="1" x14ac:dyDescent="0.25">
      <c r="A134" s="15" t="s">
        <v>332</v>
      </c>
      <c r="B134" s="38" t="s">
        <v>333</v>
      </c>
      <c r="C134" s="37"/>
      <c r="D134" s="45">
        <v>684.49</v>
      </c>
      <c r="E134" s="45">
        <v>1863.79</v>
      </c>
      <c r="F134" s="16"/>
      <c r="G134" s="16">
        <f>IF(Dashboard!$D$60="100-yr",D134,E134)</f>
        <v>684.49</v>
      </c>
    </row>
    <row r="135" spans="1:12" ht="39.6" x14ac:dyDescent="0.25">
      <c r="A135" s="15" t="s">
        <v>334</v>
      </c>
      <c r="B135" s="38" t="s">
        <v>335</v>
      </c>
      <c r="C135" s="37"/>
      <c r="D135" s="17">
        <v>137.08000000000001</v>
      </c>
      <c r="E135" s="18">
        <v>472.53999999999996</v>
      </c>
      <c r="F135" s="16"/>
      <c r="G135" s="16">
        <f>IF(Dashboard!$D$60="100-yr",D135,E135)</f>
        <v>137.08000000000001</v>
      </c>
    </row>
    <row r="136" spans="1:12" ht="79.2" x14ac:dyDescent="0.25">
      <c r="A136" s="15" t="s">
        <v>336</v>
      </c>
      <c r="B136" s="38" t="s">
        <v>337</v>
      </c>
      <c r="C136" s="37"/>
      <c r="D136" s="17">
        <v>1649.9549999999999</v>
      </c>
      <c r="E136" s="18">
        <v>3848.72</v>
      </c>
      <c r="F136" s="16"/>
      <c r="G136" s="16">
        <f>IF(Dashboard!$D$60="100-yr",D136,E136)</f>
        <v>1649.9549999999999</v>
      </c>
    </row>
    <row r="137" spans="1:12" ht="78.599999999999994" customHeight="1" x14ac:dyDescent="0.25">
      <c r="A137" s="15" t="s">
        <v>338</v>
      </c>
      <c r="B137" s="38" t="s">
        <v>339</v>
      </c>
      <c r="C137" s="37"/>
      <c r="D137" s="17">
        <v>2767.1900000000005</v>
      </c>
      <c r="E137" s="18">
        <v>5278.1900000000005</v>
      </c>
      <c r="F137" s="16"/>
      <c r="G137" s="16">
        <f>IF(Dashboard!$D$60="100-yr",D137,E137)</f>
        <v>2767.1900000000005</v>
      </c>
    </row>
    <row r="138" spans="1:12" ht="66" x14ac:dyDescent="0.25">
      <c r="A138" s="15" t="s">
        <v>340</v>
      </c>
      <c r="B138" s="38" t="s">
        <v>341</v>
      </c>
      <c r="C138" s="37"/>
      <c r="D138" s="17">
        <v>2249.44</v>
      </c>
      <c r="E138" s="18">
        <v>4679.79</v>
      </c>
      <c r="F138" s="16"/>
      <c r="G138" s="16">
        <f>IF(Dashboard!$D$60="100-yr",D138,E138)</f>
        <v>2249.44</v>
      </c>
    </row>
    <row r="139" spans="1:12" ht="44.85" customHeight="1" x14ac:dyDescent="0.25">
      <c r="A139" s="15" t="s">
        <v>342</v>
      </c>
      <c r="B139" s="38" t="s">
        <v>343</v>
      </c>
      <c r="C139" s="37">
        <f>(0.49*C$27)+(0.115*C$28)+(0.395*C$53)</f>
        <v>5.786975</v>
      </c>
      <c r="D139" s="17">
        <v>733</v>
      </c>
      <c r="E139" s="18">
        <v>1872.345</v>
      </c>
      <c r="F139" s="16"/>
      <c r="G139" s="16">
        <f>IF(Dashboard!$D$60="100-yr",D139,E139)</f>
        <v>733</v>
      </c>
    </row>
    <row r="140" spans="1:12" ht="32.1" customHeight="1" x14ac:dyDescent="0.25">
      <c r="A140" s="15" t="s">
        <v>344</v>
      </c>
      <c r="B140" s="38" t="s">
        <v>345</v>
      </c>
      <c r="C140" s="37"/>
      <c r="D140" s="39">
        <v>8076.6880000000001</v>
      </c>
      <c r="E140" s="40">
        <v>8232.4940000000006</v>
      </c>
      <c r="F140" s="16"/>
      <c r="G140" s="16">
        <f>IF(Dashboard!$D$60="100-yr",D140,E140)</f>
        <v>8076.6880000000001</v>
      </c>
    </row>
    <row r="141" spans="1:12" ht="52.8" x14ac:dyDescent="0.25">
      <c r="A141" s="15" t="s">
        <v>346</v>
      </c>
      <c r="B141" s="38" t="s">
        <v>347</v>
      </c>
      <c r="C141" s="37" t="s">
        <v>348</v>
      </c>
      <c r="D141" s="17">
        <v>4656.72</v>
      </c>
      <c r="E141" s="18">
        <v>5236.8</v>
      </c>
      <c r="F141" s="16"/>
      <c r="G141" s="16">
        <f>IF(Dashboard!$D$60="100-yr",D141,E141)</f>
        <v>4656.72</v>
      </c>
    </row>
    <row r="142" spans="1:12" ht="32.85" customHeight="1" x14ac:dyDescent="0.25">
      <c r="A142" s="15" t="s">
        <v>349</v>
      </c>
      <c r="B142" s="38" t="s">
        <v>350</v>
      </c>
      <c r="C142" s="37"/>
      <c r="D142" s="17">
        <v>14560</v>
      </c>
      <c r="E142" s="18">
        <v>11280</v>
      </c>
      <c r="F142" s="16"/>
      <c r="G142" s="16">
        <f>IF(Dashboard!$D$60="100-yr",D142,E142)</f>
        <v>14560</v>
      </c>
    </row>
    <row r="143" spans="1:12" ht="53.4" x14ac:dyDescent="0.3">
      <c r="A143" s="15" t="s">
        <v>351</v>
      </c>
      <c r="B143" s="38" t="s">
        <v>352</v>
      </c>
      <c r="C143" s="37" t="s">
        <v>353</v>
      </c>
      <c r="D143" s="17">
        <v>3985</v>
      </c>
      <c r="E143" s="18">
        <v>6120</v>
      </c>
      <c r="F143" s="16"/>
      <c r="G143" s="16">
        <f>IF(Dashboard!$D$60="100-yr",D143,E143)</f>
        <v>3985</v>
      </c>
      <c r="L143"/>
    </row>
    <row r="144" spans="1:12" ht="27" x14ac:dyDescent="0.3">
      <c r="A144" s="15" t="s">
        <v>354</v>
      </c>
      <c r="B144" s="38" t="s">
        <v>355</v>
      </c>
      <c r="C144" s="37"/>
      <c r="D144" s="17">
        <v>13214</v>
      </c>
      <c r="E144" s="18">
        <v>9944.2999999999993</v>
      </c>
      <c r="F144" s="16"/>
      <c r="G144" s="16">
        <f>IF(Dashboard!$D$60="100-yr",D144,E144)</f>
        <v>13214</v>
      </c>
      <c r="L144"/>
    </row>
    <row r="145" spans="1:12" ht="27" x14ac:dyDescent="0.3">
      <c r="A145" s="15" t="s">
        <v>356</v>
      </c>
      <c r="B145" s="38" t="s">
        <v>357</v>
      </c>
      <c r="C145" s="37"/>
      <c r="D145" s="17">
        <v>13396</v>
      </c>
      <c r="E145" s="18">
        <v>10180.200000000001</v>
      </c>
      <c r="F145" s="16"/>
      <c r="G145" s="16">
        <f>IF(Dashboard!$D$60="100-yr",D145,E145)</f>
        <v>13396</v>
      </c>
      <c r="L145"/>
    </row>
    <row r="146" spans="1:12" ht="42.6" customHeight="1" x14ac:dyDescent="0.3">
      <c r="A146" s="15" t="s">
        <v>358</v>
      </c>
      <c r="B146" s="38" t="s">
        <v>359</v>
      </c>
      <c r="C146" s="37"/>
      <c r="D146" s="39">
        <v>629.76</v>
      </c>
      <c r="E146" s="40">
        <v>1685.76</v>
      </c>
      <c r="F146" s="16"/>
      <c r="G146" s="16">
        <f>IF(Dashboard!$D$60="100-yr",D146,E146)</f>
        <v>629.76</v>
      </c>
      <c r="L146"/>
    </row>
    <row r="147" spans="1:12" ht="42.6" customHeight="1" x14ac:dyDescent="0.3">
      <c r="A147" s="15" t="s">
        <v>360</v>
      </c>
      <c r="B147" s="38" t="s">
        <v>361</v>
      </c>
      <c r="C147" s="37"/>
      <c r="D147" s="39">
        <v>2</v>
      </c>
      <c r="E147" s="40">
        <v>2</v>
      </c>
      <c r="F147" s="16"/>
      <c r="G147" s="16">
        <f>IF(Dashboard!$D$60="100-yr",D147,E147)</f>
        <v>2</v>
      </c>
      <c r="L147"/>
    </row>
    <row r="148" spans="1:12" ht="36" customHeight="1" x14ac:dyDescent="0.3">
      <c r="A148" s="15" t="s">
        <v>362</v>
      </c>
      <c r="B148" s="38" t="s">
        <v>363</v>
      </c>
      <c r="C148" s="37"/>
      <c r="D148" s="39">
        <v>387.28</v>
      </c>
      <c r="E148" s="40">
        <v>638.07999999999993</v>
      </c>
      <c r="F148" s="16"/>
      <c r="G148" s="16">
        <f>IF(Dashboard!$D$60="100-yr",D148,E148)</f>
        <v>387.28</v>
      </c>
      <c r="L148"/>
    </row>
    <row r="149" spans="1:12" ht="42.6" customHeight="1" x14ac:dyDescent="0.3">
      <c r="A149" s="15" t="s">
        <v>364</v>
      </c>
      <c r="B149" s="38" t="s">
        <v>365</v>
      </c>
      <c r="C149" s="37"/>
      <c r="D149" s="17">
        <v>139.685</v>
      </c>
      <c r="E149" s="18">
        <v>387.505</v>
      </c>
      <c r="F149" s="16"/>
      <c r="G149" s="16">
        <f>IF(Dashboard!$D$60="100-yr",D149,E149)</f>
        <v>139.685</v>
      </c>
      <c r="L149"/>
    </row>
    <row r="150" spans="1:12" ht="42.6" x14ac:dyDescent="0.3">
      <c r="A150" s="15" t="s">
        <v>366</v>
      </c>
      <c r="B150" s="38" t="s">
        <v>367</v>
      </c>
      <c r="C150" s="37"/>
      <c r="D150" s="39">
        <v>1372.96</v>
      </c>
      <c r="E150" s="40">
        <v>3676.9599999999996</v>
      </c>
      <c r="F150" s="16"/>
      <c r="G150" s="16">
        <f>IF(Dashboard!$D$60="100-yr",D150,E150)</f>
        <v>1372.96</v>
      </c>
      <c r="L150"/>
    </row>
    <row r="151" spans="1:12" ht="23.1" customHeight="1" x14ac:dyDescent="0.3">
      <c r="A151" s="15" t="s">
        <v>368</v>
      </c>
      <c r="B151" s="46" t="s">
        <v>369</v>
      </c>
      <c r="C151" s="37"/>
      <c r="D151" s="39">
        <v>1650</v>
      </c>
      <c r="E151" s="17" t="s">
        <v>499</v>
      </c>
      <c r="F151" s="16"/>
      <c r="G151" s="16">
        <f>IF(Dashboard!$D$60="100-yr",D151,E151)</f>
        <v>1650</v>
      </c>
      <c r="L151"/>
    </row>
    <row r="152" spans="1:12" ht="23.1" customHeight="1" x14ac:dyDescent="0.3">
      <c r="A152" s="15" t="s">
        <v>370</v>
      </c>
      <c r="B152" s="46" t="s">
        <v>371</v>
      </c>
      <c r="C152" s="37"/>
      <c r="D152" s="39">
        <v>954</v>
      </c>
      <c r="E152" s="17" t="s">
        <v>499</v>
      </c>
      <c r="F152" s="16"/>
      <c r="G152" s="16">
        <f>IF(Dashboard!$D$60="100-yr",D152,E152)</f>
        <v>954</v>
      </c>
      <c r="L152"/>
    </row>
    <row r="153" spans="1:12" ht="27" customHeight="1" x14ac:dyDescent="0.3">
      <c r="A153" s="15" t="s">
        <v>372</v>
      </c>
      <c r="B153" s="36" t="s">
        <v>373</v>
      </c>
      <c r="C153" s="37"/>
      <c r="D153" s="39">
        <v>148</v>
      </c>
      <c r="E153" s="17" t="s">
        <v>499</v>
      </c>
      <c r="F153" s="16"/>
      <c r="G153" s="16">
        <f>IF(Dashboard!$D$60="100-yr",D153,E153)</f>
        <v>148</v>
      </c>
      <c r="L153"/>
    </row>
    <row r="154" spans="1:12" ht="31.5" customHeight="1" x14ac:dyDescent="0.3">
      <c r="A154" s="15" t="s">
        <v>374</v>
      </c>
      <c r="B154" s="46" t="s">
        <v>375</v>
      </c>
      <c r="C154" s="37">
        <v>0.02</v>
      </c>
      <c r="D154" s="39">
        <v>5.0000000000000001E-3</v>
      </c>
      <c r="E154" s="40">
        <v>5.0000000000000001E-3</v>
      </c>
      <c r="F154" s="16"/>
      <c r="G154" s="16">
        <f>IF(Dashboard!$D$60="100-yr",D154,E154)</f>
        <v>5.0000000000000001E-3</v>
      </c>
      <c r="L154"/>
    </row>
    <row r="155" spans="1:12" ht="52.5" customHeight="1" x14ac:dyDescent="0.25">
      <c r="A155" s="15" t="s">
        <v>441</v>
      </c>
      <c r="B155" s="46"/>
      <c r="C155" s="37"/>
      <c r="D155" s="39"/>
      <c r="E155" s="39"/>
      <c r="F155" s="36" t="s">
        <v>504</v>
      </c>
      <c r="G155" s="16"/>
    </row>
    <row r="156" spans="1:12" x14ac:dyDescent="0.25">
      <c r="A156" s="19" t="s">
        <v>376</v>
      </c>
      <c r="C156" s="45"/>
      <c r="D156" s="45"/>
      <c r="E156" s="45"/>
    </row>
    <row r="157" spans="1:12" x14ac:dyDescent="0.25">
      <c r="A157" s="19" t="s">
        <v>500</v>
      </c>
      <c r="C157" s="47"/>
      <c r="D157" s="47"/>
      <c r="E157" s="47"/>
    </row>
    <row r="158" spans="1:12" x14ac:dyDescent="0.25">
      <c r="A158" s="19" t="s">
        <v>377</v>
      </c>
      <c r="C158" s="47"/>
      <c r="D158" s="47"/>
      <c r="E158" s="47"/>
    </row>
    <row r="159" spans="1:12" x14ac:dyDescent="0.25">
      <c r="A159" s="19" t="s">
        <v>378</v>
      </c>
      <c r="C159" s="47"/>
      <c r="D159" s="47"/>
      <c r="E159" s="47"/>
    </row>
    <row r="160" spans="1:12"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1:5" x14ac:dyDescent="0.25">
      <c r="D177" s="47"/>
      <c r="E177" s="47"/>
    </row>
    <row r="178" spans="1:5" x14ac:dyDescent="0.25">
      <c r="D178" s="47"/>
      <c r="E178" s="47"/>
    </row>
    <row r="179" spans="1:5" x14ac:dyDescent="0.25">
      <c r="D179" s="47"/>
      <c r="E179" s="47"/>
    </row>
    <row r="180" spans="1:5" x14ac:dyDescent="0.25">
      <c r="D180" s="47"/>
      <c r="E180" s="47"/>
    </row>
    <row r="181" spans="1:5" x14ac:dyDescent="0.25">
      <c r="D181" s="47"/>
      <c r="E181" s="47"/>
    </row>
    <row r="185" spans="1:5" x14ac:dyDescent="0.25">
      <c r="A185" s="48"/>
    </row>
  </sheetData>
  <mergeCells count="1">
    <mergeCell ref="F2:F22"/>
  </mergeCells>
  <pageMargins left="0.75" right="0.75" top="0.75" bottom="0.75" header="0.5" footer="0.5"/>
  <pageSetup scale="24" fitToHeight="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5E053-F2A2-4B80-8655-0C000CC26FED}">
  <dimension ref="B2:F25"/>
  <sheetViews>
    <sheetView topLeftCell="B1" workbookViewId="0">
      <selection activeCell="F24" sqref="F24"/>
    </sheetView>
  </sheetViews>
  <sheetFormatPr defaultRowHeight="14.4" x14ac:dyDescent="0.3"/>
  <cols>
    <col min="2" max="2" width="13.21875" bestFit="1" customWidth="1"/>
    <col min="3" max="3" width="9.77734375" bestFit="1" customWidth="1"/>
    <col min="4" max="4" width="18.77734375" bestFit="1" customWidth="1"/>
    <col min="5" max="5" width="8.77734375" bestFit="1" customWidth="1"/>
    <col min="6" max="6" width="242.5546875" bestFit="1" customWidth="1"/>
  </cols>
  <sheetData>
    <row r="2" spans="2:6" x14ac:dyDescent="0.3">
      <c r="B2" s="134" t="s">
        <v>511</v>
      </c>
      <c r="C2" s="134" t="s">
        <v>452</v>
      </c>
      <c r="D2" s="134" t="s">
        <v>453</v>
      </c>
      <c r="E2" s="134" t="s">
        <v>454</v>
      </c>
      <c r="F2" s="5"/>
    </row>
    <row r="3" spans="2:6" x14ac:dyDescent="0.3">
      <c r="B3" s="5" t="s">
        <v>510</v>
      </c>
      <c r="C3" s="135">
        <v>44698</v>
      </c>
      <c r="D3" s="5" t="s">
        <v>456</v>
      </c>
      <c r="E3" s="5" t="s">
        <v>455</v>
      </c>
      <c r="F3" s="5" t="s">
        <v>457</v>
      </c>
    </row>
    <row r="4" spans="2:6" x14ac:dyDescent="0.3">
      <c r="B4" s="5"/>
      <c r="C4" s="5"/>
      <c r="D4" s="5"/>
      <c r="E4" s="5"/>
      <c r="F4" s="5" t="s">
        <v>458</v>
      </c>
    </row>
    <row r="5" spans="2:6" x14ac:dyDescent="0.3">
      <c r="B5" s="5"/>
      <c r="C5" s="5"/>
      <c r="D5" s="5"/>
      <c r="E5" s="5" t="s">
        <v>459</v>
      </c>
      <c r="F5" s="5" t="s">
        <v>460</v>
      </c>
    </row>
    <row r="6" spans="2:6" x14ac:dyDescent="0.3">
      <c r="B6" s="5"/>
      <c r="C6" s="5"/>
      <c r="D6" s="5"/>
      <c r="E6" s="5" t="s">
        <v>461</v>
      </c>
      <c r="F6" s="5" t="s">
        <v>462</v>
      </c>
    </row>
    <row r="7" spans="2:6" x14ac:dyDescent="0.3">
      <c r="B7" s="5"/>
      <c r="C7" s="5"/>
      <c r="D7" s="5"/>
      <c r="E7" s="5"/>
      <c r="F7" s="5" t="s">
        <v>463</v>
      </c>
    </row>
    <row r="8" spans="2:6" x14ac:dyDescent="0.3">
      <c r="B8" s="5"/>
      <c r="C8" s="5"/>
      <c r="D8" s="5"/>
      <c r="E8" s="5" t="s">
        <v>464</v>
      </c>
      <c r="F8" s="5" t="s">
        <v>465</v>
      </c>
    </row>
    <row r="9" spans="2:6" x14ac:dyDescent="0.3">
      <c r="B9" s="5"/>
      <c r="C9" s="5"/>
      <c r="D9" s="5"/>
      <c r="E9" s="5" t="s">
        <v>466</v>
      </c>
      <c r="F9" s="5" t="s">
        <v>467</v>
      </c>
    </row>
    <row r="10" spans="2:6" x14ac:dyDescent="0.3">
      <c r="B10" s="5"/>
      <c r="C10" s="5"/>
      <c r="D10" s="5"/>
      <c r="E10" s="5" t="s">
        <v>468</v>
      </c>
      <c r="F10" s="5" t="s">
        <v>469</v>
      </c>
    </row>
    <row r="11" spans="2:6" x14ac:dyDescent="0.3">
      <c r="B11" s="5"/>
      <c r="C11" s="5"/>
      <c r="D11" s="5"/>
      <c r="E11" s="5" t="s">
        <v>470</v>
      </c>
      <c r="F11" s="5" t="s">
        <v>471</v>
      </c>
    </row>
    <row r="12" spans="2:6" x14ac:dyDescent="0.3">
      <c r="B12" s="5"/>
      <c r="C12" s="5"/>
      <c r="D12" s="5"/>
      <c r="E12" s="5"/>
      <c r="F12" s="5" t="s">
        <v>472</v>
      </c>
    </row>
    <row r="13" spans="2:6" x14ac:dyDescent="0.3">
      <c r="B13" s="5"/>
      <c r="C13" s="5"/>
      <c r="D13" s="5"/>
      <c r="E13" s="5" t="s">
        <v>473</v>
      </c>
      <c r="F13" s="5" t="s">
        <v>474</v>
      </c>
    </row>
    <row r="14" spans="2:6" x14ac:dyDescent="0.3">
      <c r="B14" s="5"/>
      <c r="C14" s="5"/>
      <c r="D14" s="5" t="s">
        <v>475</v>
      </c>
      <c r="E14" s="5" t="s">
        <v>476</v>
      </c>
      <c r="F14" s="5" t="s">
        <v>477</v>
      </c>
    </row>
    <row r="15" spans="2:6" x14ac:dyDescent="0.3">
      <c r="B15" s="5"/>
      <c r="C15" s="5"/>
      <c r="D15" s="5" t="s">
        <v>478</v>
      </c>
      <c r="E15" s="5" t="s">
        <v>479</v>
      </c>
      <c r="F15" s="5" t="s">
        <v>480</v>
      </c>
    </row>
    <row r="16" spans="2:6" x14ac:dyDescent="0.3">
      <c r="B16" s="5"/>
      <c r="C16" s="5"/>
      <c r="D16" s="5" t="s">
        <v>388</v>
      </c>
      <c r="E16" s="5" t="s">
        <v>481</v>
      </c>
      <c r="F16" s="5" t="s">
        <v>482</v>
      </c>
    </row>
    <row r="17" spans="2:6" x14ac:dyDescent="0.3">
      <c r="B17" s="5"/>
      <c r="C17" s="5"/>
      <c r="D17" s="5" t="s">
        <v>456</v>
      </c>
      <c r="E17" s="5" t="s">
        <v>476</v>
      </c>
      <c r="F17" s="5" t="s">
        <v>492</v>
      </c>
    </row>
    <row r="18" spans="2:6" x14ac:dyDescent="0.3">
      <c r="B18" s="5"/>
      <c r="C18" s="135">
        <v>44714</v>
      </c>
      <c r="D18" s="5" t="s">
        <v>475</v>
      </c>
      <c r="E18" s="5" t="s">
        <v>495</v>
      </c>
      <c r="F18" s="5" t="s">
        <v>496</v>
      </c>
    </row>
    <row r="19" spans="2:6" x14ac:dyDescent="0.3">
      <c r="B19" s="5"/>
      <c r="C19" s="5"/>
      <c r="D19" s="5" t="s">
        <v>475</v>
      </c>
      <c r="E19" s="5" t="s">
        <v>497</v>
      </c>
      <c r="F19" s="5" t="s">
        <v>498</v>
      </c>
    </row>
    <row r="20" spans="2:6" x14ac:dyDescent="0.3">
      <c r="B20" s="5"/>
      <c r="C20" s="5"/>
      <c r="D20" s="5" t="s">
        <v>501</v>
      </c>
      <c r="E20" s="5" t="s">
        <v>502</v>
      </c>
      <c r="F20" s="5" t="s">
        <v>503</v>
      </c>
    </row>
    <row r="21" spans="2:6" x14ac:dyDescent="0.3">
      <c r="B21" s="5"/>
      <c r="C21" s="5"/>
      <c r="D21" s="5" t="s">
        <v>501</v>
      </c>
      <c r="E21" s="5"/>
      <c r="F21" s="5" t="s">
        <v>505</v>
      </c>
    </row>
    <row r="22" spans="2:6" x14ac:dyDescent="0.3">
      <c r="B22" s="5" t="s">
        <v>509</v>
      </c>
      <c r="C22" s="135">
        <v>44760</v>
      </c>
      <c r="D22" s="5" t="s">
        <v>456</v>
      </c>
      <c r="E22" s="5" t="s">
        <v>512</v>
      </c>
      <c r="F22" s="5" t="s">
        <v>513</v>
      </c>
    </row>
    <row r="23" spans="2:6" x14ac:dyDescent="0.3">
      <c r="B23" s="5"/>
      <c r="C23" s="5"/>
      <c r="D23" s="5" t="s">
        <v>515</v>
      </c>
      <c r="E23" s="5" t="s">
        <v>497</v>
      </c>
      <c r="F23" s="5" t="s">
        <v>516</v>
      </c>
    </row>
    <row r="24" spans="2:6" x14ac:dyDescent="0.3">
      <c r="B24" s="5" t="s">
        <v>517</v>
      </c>
      <c r="C24" s="135">
        <v>44812</v>
      </c>
      <c r="D24" s="5" t="s">
        <v>475</v>
      </c>
      <c r="E24" s="5" t="s">
        <v>525</v>
      </c>
      <c r="F24" s="5" t="s">
        <v>526</v>
      </c>
    </row>
    <row r="25" spans="2:6" x14ac:dyDescent="0.3">
      <c r="B25" s="5"/>
      <c r="C25" s="5"/>
      <c r="D25" s="5" t="s">
        <v>456</v>
      </c>
      <c r="E25" s="5" t="s">
        <v>527</v>
      </c>
      <c r="F25" s="5" t="s">
        <v>522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5B365957C7CB40992C2FD98AC36155" ma:contentTypeVersion="12" ma:contentTypeDescription="Create a new document." ma:contentTypeScope="" ma:versionID="b2816d0ef92202c65df612e814dd258a">
  <xsd:schema xmlns:xsd="http://www.w3.org/2001/XMLSchema" xmlns:xs="http://www.w3.org/2001/XMLSchema" xmlns:p="http://schemas.microsoft.com/office/2006/metadata/properties" xmlns:ns2="b48abb86-6b75-4cc9-8ac7-293f3cb026c9" xmlns:ns3="b2b8bedc-0fcb-47cf-97d0-3e95d67c491f" targetNamespace="http://schemas.microsoft.com/office/2006/metadata/properties" ma:root="true" ma:fieldsID="c75008b61cef3e70b590bf96d7308de9" ns2:_="" ns3:_="">
    <xsd:import namespace="b48abb86-6b75-4cc9-8ac7-293f3cb026c9"/>
    <xsd:import namespace="b2b8bedc-0fcb-47cf-97d0-3e95d67c491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Workingon" minOccurs="0"/>
                <xsd:element ref="ns2: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abb86-6b75-4cc9-8ac7-293f3cb026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Workingon" ma:index="18" nillable="true" ma:displayName="Working on" ma:description="Who is working on the document" ma:format="Dropdown" ma:list="UserInfo" ma:SharePointGroup="0" ma:internalName="Workingo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st" ma:index="19" nillable="true" ma:displayName="test" ma:format="Dropdown" ma:internalName="tes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b8bedc-0fcb-47cf-97d0-3e95d67c49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2b8bedc-0fcb-47cf-97d0-3e95d67c491f">
      <UserInfo>
        <DisplayName/>
        <AccountId xsi:nil="true"/>
        <AccountType/>
      </UserInfo>
    </SharedWithUsers>
    <test xmlns="b48abb86-6b75-4cc9-8ac7-293f3cb026c9" xsi:nil="true"/>
    <Workingon xmlns="b48abb86-6b75-4cc9-8ac7-293f3cb026c9">
      <UserInfo>
        <DisplayName/>
        <AccountId xsi:nil="true"/>
        <AccountType/>
      </UserInfo>
    </Workingon>
  </documentManagement>
</p:properties>
</file>

<file path=customXml/itemProps1.xml><?xml version="1.0" encoding="utf-8"?>
<ds:datastoreItem xmlns:ds="http://schemas.openxmlformats.org/officeDocument/2006/customXml" ds:itemID="{74B53656-8AE5-489F-85B5-D742E090A7AB}">
  <ds:schemaRefs>
    <ds:schemaRef ds:uri="http://schemas.microsoft.com/sharepoint/v3/contenttype/forms"/>
  </ds:schemaRefs>
</ds:datastoreItem>
</file>

<file path=customXml/itemProps2.xml><?xml version="1.0" encoding="utf-8"?>
<ds:datastoreItem xmlns:ds="http://schemas.openxmlformats.org/officeDocument/2006/customXml" ds:itemID="{83179152-8F0C-4E2F-86D9-1FBF6B0D7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abb86-6b75-4cc9-8ac7-293f3cb026c9"/>
    <ds:schemaRef ds:uri="b2b8bedc-0fcb-47cf-97d0-3e95d67c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D806A4-61D9-4E70-89CD-65DE816242A7}">
  <ds:schemaRefs>
    <ds:schemaRef ds:uri="http://purl.org/dc/dcmitype/"/>
    <ds:schemaRef ds:uri="http://schemas.microsoft.com/office/2006/documentManagement/types"/>
    <ds:schemaRef ds:uri="b2b8bedc-0fcb-47cf-97d0-3e95d67c491f"/>
    <ds:schemaRef ds:uri="b48abb86-6b75-4cc9-8ac7-293f3cb026c9"/>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Dashboard</vt:lpstr>
      <vt:lpstr>ACC Inputs</vt:lpstr>
      <vt:lpstr>Refrigerant Leakage</vt:lpstr>
      <vt:lpstr>Refrigerant GWPs</vt:lpstr>
      <vt:lpstr>Change Log</vt:lpstr>
      <vt:lpstr>'Refrigerant GWPs'!Print_Area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Cutter</dc:creator>
  <cp:keywords/>
  <dc:description/>
  <cp:lastModifiedBy>Sumin Wang</cp:lastModifiedBy>
  <cp:revision/>
  <dcterms:created xsi:type="dcterms:W3CDTF">2020-04-23T22:41:59Z</dcterms:created>
  <dcterms:modified xsi:type="dcterms:W3CDTF">2022-09-14T22:04:48Z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0x010100685B365957C7CB40992C2FD98AC36155</vt:lpwstr>
  </property>
  <property fmtid="{D5CDD505-2E9C-101B-9397-08002B2CF9AE}" pid="3" name="{A44787D4-0540-4523-9961-78E4036D8C6D}">
    <vt:lpwstr>{29011BCD-9810-4FE4-BF91-FFD64CECF023}</vt:lpwstr>
  </property>
  <property fmtid="{D5CDD505-2E9C-101B-9397-08002B2CF9AE}" pid="4" name="Order">
    <vt:r8>76500</vt:r8>
  </property>
  <property fmtid="{D5CDD505-2E9C-101B-9397-08002B2CF9AE}" pid="5" name="ComplianceAssetId">
    <vt:lpwstr/>
  </property>
</Properties>
</file>