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apuc-my.sharepoint.com/personal/jaime_elder_cpuc_ca_gov/Documents/Division Liaison Items/Website/Rulemaking/"/>
    </mc:Choice>
  </mc:AlternateContent>
  <xr:revisionPtr revIDLastSave="0" documentId="8_{5F240BAD-FDFC-4A2A-A0BE-79BE6211B19C}" xr6:coauthVersionLast="47" xr6:coauthVersionMax="47" xr10:uidLastSave="{00000000-0000-0000-0000-000000000000}"/>
  <bookViews>
    <workbookView xWindow="-120" yWindow="-120" windowWidth="20730" windowHeight="11160" xr2:uid="{4E897908-05E6-499A-8248-E98E536F60D2}"/>
  </bookViews>
  <sheets>
    <sheet name="SCE Analysis of CPUC Proposal A" sheetId="5" r:id="rId1"/>
    <sheet name="SCE Proposal for AMP Minimum" sheetId="4" r:id="rId2"/>
    <sheet name="CPUC and SCE Proposal B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3" i="5" l="1"/>
  <c r="H10" i="5"/>
  <c r="H7" i="5"/>
  <c r="H8" i="5"/>
  <c r="H9" i="5"/>
  <c r="H11" i="5"/>
  <c r="H12" i="5"/>
  <c r="H6" i="5"/>
  <c r="H4" i="5"/>
  <c r="B20" i="5"/>
  <c r="B21" i="5" s="1"/>
  <c r="B19" i="5"/>
  <c r="C12" i="5" l="1"/>
  <c r="C13" i="5" s="1"/>
  <c r="B12" i="5"/>
  <c r="B13" i="5" s="1"/>
  <c r="G11" i="5"/>
  <c r="D11" i="5"/>
  <c r="E11" i="5" s="1"/>
  <c r="F11" i="5" s="1"/>
  <c r="G10" i="5"/>
  <c r="D10" i="5"/>
  <c r="E10" i="5" s="1"/>
  <c r="G9" i="5"/>
  <c r="D9" i="5"/>
  <c r="E9" i="5" s="1"/>
  <c r="F9" i="5" s="1"/>
  <c r="G8" i="5"/>
  <c r="D8" i="5"/>
  <c r="E8" i="5" s="1"/>
  <c r="F8" i="5" s="1"/>
  <c r="G7" i="5"/>
  <c r="D7" i="5"/>
  <c r="E7" i="5" s="1"/>
  <c r="F7" i="5" s="1"/>
  <c r="G6" i="5"/>
  <c r="D6" i="5"/>
  <c r="E6" i="5" s="1"/>
  <c r="G4" i="5"/>
  <c r="D4" i="5"/>
  <c r="E4" i="5" s="1"/>
  <c r="G13" i="5" l="1"/>
  <c r="G12" i="5"/>
  <c r="D12" i="5"/>
  <c r="D13" i="5" s="1"/>
  <c r="E12" i="5"/>
  <c r="E13" i="5" s="1"/>
  <c r="F6" i="5"/>
  <c r="F12" i="5" s="1"/>
  <c r="F13" i="5" s="1"/>
  <c r="F6" i="4" l="1"/>
  <c r="F7" i="4"/>
  <c r="F5" i="4"/>
  <c r="E6" i="4"/>
  <c r="E7" i="4"/>
  <c r="E5" i="4"/>
  <c r="D6" i="4"/>
  <c r="D7" i="4"/>
  <c r="D5" i="4"/>
  <c r="D3" i="4"/>
  <c r="D3" i="3" l="1"/>
  <c r="D5" i="3"/>
  <c r="D6" i="3"/>
  <c r="D7" i="3"/>
  <c r="D8" i="3"/>
  <c r="D9" i="3"/>
  <c r="D10" i="3"/>
  <c r="D11" i="3"/>
  <c r="D12" i="3"/>
  <c r="D13" i="3"/>
  <c r="D14" i="3"/>
  <c r="D15" i="3"/>
  <c r="D16" i="3"/>
  <c r="B22" i="3"/>
  <c r="B21" i="3"/>
  <c r="C21" i="3" s="1"/>
  <c r="D4" i="3" l="1"/>
  <c r="D17" i="3"/>
  <c r="B20" i="3"/>
  <c r="C20" i="3" s="1"/>
  <c r="B25" i="3" l="1"/>
  <c r="C25" i="3" s="1"/>
  <c r="E3" i="3" l="1"/>
  <c r="F3" i="3"/>
  <c r="G3" i="3"/>
  <c r="H3" i="3"/>
  <c r="I3" i="3"/>
  <c r="J3" i="3"/>
  <c r="K3" i="3"/>
  <c r="L3" i="3"/>
  <c r="M3" i="3"/>
  <c r="N3" i="3"/>
  <c r="O3" i="3"/>
  <c r="P3" i="3"/>
  <c r="Q3" i="3"/>
  <c r="R3" i="3"/>
  <c r="S3" i="3"/>
  <c r="T3" i="3"/>
  <c r="U3" i="3"/>
  <c r="V3" i="3"/>
  <c r="W3" i="3"/>
  <c r="X3" i="3"/>
  <c r="Y3" i="3"/>
  <c r="Z3" i="3"/>
  <c r="AA3" i="3"/>
  <c r="C26" i="3" l="1"/>
  <c r="D26" i="3"/>
  <c r="B26" i="3"/>
  <c r="E16" i="3"/>
  <c r="F16" i="3"/>
  <c r="G16" i="3"/>
  <c r="H16" i="3"/>
  <c r="I16" i="3"/>
  <c r="J16" i="3"/>
  <c r="K16" i="3"/>
  <c r="L16" i="3"/>
  <c r="M16" i="3"/>
  <c r="N16" i="3"/>
  <c r="O16" i="3"/>
  <c r="P16" i="3"/>
  <c r="Q16" i="3"/>
  <c r="R16" i="3"/>
  <c r="S16" i="3"/>
  <c r="T16" i="3"/>
  <c r="U16" i="3"/>
  <c r="V16" i="3"/>
  <c r="W16" i="3"/>
  <c r="X16" i="3"/>
  <c r="Y16" i="3"/>
  <c r="Z16" i="3"/>
  <c r="Z4" i="3" s="1"/>
  <c r="AA16" i="3"/>
  <c r="AA4" i="3" s="1"/>
  <c r="AA17" i="3" s="1"/>
  <c r="E15" i="3"/>
  <c r="F15" i="3"/>
  <c r="G15" i="3"/>
  <c r="H15" i="3"/>
  <c r="I15" i="3"/>
  <c r="J15" i="3"/>
  <c r="K15" i="3"/>
  <c r="L15" i="3"/>
  <c r="M15" i="3"/>
  <c r="N15" i="3"/>
  <c r="O15" i="3"/>
  <c r="P15" i="3"/>
  <c r="Q15" i="3"/>
  <c r="R15" i="3"/>
  <c r="S15" i="3"/>
  <c r="T15" i="3"/>
  <c r="U15" i="3"/>
  <c r="V15" i="3"/>
  <c r="W15" i="3"/>
  <c r="X15" i="3"/>
  <c r="Y15" i="3"/>
  <c r="E14" i="3"/>
  <c r="F14" i="3"/>
  <c r="G14" i="3"/>
  <c r="H14" i="3"/>
  <c r="I14" i="3"/>
  <c r="J14" i="3"/>
  <c r="K14" i="3"/>
  <c r="L14" i="3"/>
  <c r="M14" i="3"/>
  <c r="N14" i="3"/>
  <c r="O14" i="3"/>
  <c r="P14" i="3"/>
  <c r="Q14" i="3"/>
  <c r="R14" i="3"/>
  <c r="S14" i="3"/>
  <c r="T14" i="3"/>
  <c r="U14" i="3"/>
  <c r="V14" i="3"/>
  <c r="W14" i="3"/>
  <c r="E13" i="3"/>
  <c r="F13" i="3"/>
  <c r="G13" i="3"/>
  <c r="H13" i="3"/>
  <c r="I13" i="3"/>
  <c r="J13" i="3"/>
  <c r="K13" i="3"/>
  <c r="L13" i="3"/>
  <c r="M13" i="3"/>
  <c r="N13" i="3"/>
  <c r="O13" i="3"/>
  <c r="P13" i="3"/>
  <c r="Q13" i="3"/>
  <c r="R13" i="3"/>
  <c r="S13" i="3"/>
  <c r="T13" i="3"/>
  <c r="U13" i="3"/>
  <c r="E12" i="3"/>
  <c r="F12" i="3"/>
  <c r="G12" i="3"/>
  <c r="H12" i="3"/>
  <c r="I12" i="3"/>
  <c r="J12" i="3"/>
  <c r="K12" i="3"/>
  <c r="L12" i="3"/>
  <c r="M12" i="3"/>
  <c r="N12" i="3"/>
  <c r="O12" i="3"/>
  <c r="P12" i="3"/>
  <c r="Q12" i="3"/>
  <c r="R12" i="3"/>
  <c r="S12" i="3"/>
  <c r="E11" i="3"/>
  <c r="F11" i="3"/>
  <c r="G11" i="3"/>
  <c r="H11" i="3"/>
  <c r="I11" i="3"/>
  <c r="J11" i="3"/>
  <c r="K11" i="3"/>
  <c r="L11" i="3"/>
  <c r="M11" i="3"/>
  <c r="N11" i="3"/>
  <c r="O11" i="3"/>
  <c r="P11" i="3"/>
  <c r="Q11" i="3"/>
  <c r="E6" i="3"/>
  <c r="F6" i="3"/>
  <c r="G6" i="3"/>
  <c r="H6" i="3"/>
  <c r="I6" i="3"/>
  <c r="J6" i="3"/>
  <c r="K6" i="3"/>
  <c r="L6" i="3"/>
  <c r="M6" i="3"/>
  <c r="N6" i="3"/>
  <c r="O6" i="3"/>
  <c r="E7" i="3"/>
  <c r="F7" i="3"/>
  <c r="G7" i="3"/>
  <c r="H7" i="3"/>
  <c r="I7" i="3"/>
  <c r="J7" i="3"/>
  <c r="K7" i="3"/>
  <c r="L7" i="3"/>
  <c r="M7" i="3"/>
  <c r="N7" i="3"/>
  <c r="O7" i="3"/>
  <c r="E8" i="3"/>
  <c r="F8" i="3"/>
  <c r="G8" i="3"/>
  <c r="H8" i="3"/>
  <c r="I8" i="3"/>
  <c r="J8" i="3"/>
  <c r="K8" i="3"/>
  <c r="L8" i="3"/>
  <c r="M8" i="3"/>
  <c r="N8" i="3"/>
  <c r="O8" i="3"/>
  <c r="E9" i="3"/>
  <c r="F9" i="3"/>
  <c r="G9" i="3"/>
  <c r="H9" i="3"/>
  <c r="I9" i="3"/>
  <c r="J9" i="3"/>
  <c r="K9" i="3"/>
  <c r="L9" i="3"/>
  <c r="M9" i="3"/>
  <c r="N9" i="3"/>
  <c r="O9" i="3"/>
  <c r="E10" i="3"/>
  <c r="F10" i="3"/>
  <c r="G10" i="3"/>
  <c r="H10" i="3"/>
  <c r="I10" i="3"/>
  <c r="J10" i="3"/>
  <c r="K10" i="3"/>
  <c r="L10" i="3"/>
  <c r="M10" i="3"/>
  <c r="N10" i="3"/>
  <c r="O10" i="3"/>
  <c r="E5" i="3"/>
  <c r="F5" i="3"/>
  <c r="G5" i="3"/>
  <c r="H5" i="3"/>
  <c r="I5" i="3"/>
  <c r="J5" i="3"/>
  <c r="K5" i="3"/>
  <c r="L5" i="3"/>
  <c r="M5" i="3"/>
  <c r="N5" i="3"/>
  <c r="O5" i="3"/>
  <c r="X4" i="3" l="1"/>
  <c r="J4" i="3"/>
  <c r="J17" i="3" s="1"/>
  <c r="Y4" i="3"/>
  <c r="L4" i="3"/>
  <c r="W4" i="3"/>
  <c r="W17" i="3" s="1"/>
  <c r="E4" i="3"/>
  <c r="E17" i="3" s="1"/>
  <c r="U4" i="3"/>
  <c r="U17" i="3" s="1"/>
  <c r="O4" i="3"/>
  <c r="O17" i="3" s="1"/>
  <c r="M4" i="3"/>
  <c r="M17" i="3" s="1"/>
  <c r="S4" i="3"/>
  <c r="S17" i="3" s="1"/>
  <c r="G4" i="3"/>
  <c r="G17" i="3" s="1"/>
  <c r="K4" i="3"/>
  <c r="K17" i="3" s="1"/>
  <c r="F4" i="3"/>
  <c r="F17" i="3" s="1"/>
  <c r="T4" i="3"/>
  <c r="T17" i="3" s="1"/>
  <c r="N4" i="3"/>
  <c r="N17" i="3" s="1"/>
  <c r="P4" i="3"/>
  <c r="V4" i="3"/>
  <c r="V17" i="3" s="1"/>
  <c r="H4" i="3"/>
  <c r="H17" i="3" s="1"/>
  <c r="R4" i="3"/>
  <c r="R17" i="3" s="1"/>
  <c r="I4" i="3"/>
  <c r="I17" i="3" s="1"/>
  <c r="Q4" i="3"/>
  <c r="Q17" i="3" s="1"/>
  <c r="L17" i="3"/>
  <c r="Y17" i="3"/>
  <c r="X17" i="3"/>
  <c r="Z17" i="3"/>
  <c r="D27" i="3" l="1"/>
  <c r="D28" i="3" s="1"/>
  <c r="D29" i="3" s="1"/>
  <c r="P17" i="3"/>
  <c r="C27" i="3"/>
  <c r="B27" i="3" l="1"/>
  <c r="B28" i="3" s="1"/>
  <c r="B29" i="3" s="1"/>
  <c r="C28" i="3"/>
  <c r="C29" i="3" s="1"/>
</calcChain>
</file>

<file path=xl/sharedStrings.xml><?xml version="1.0" encoding="utf-8"?>
<sst xmlns="http://schemas.openxmlformats.org/spreadsheetml/2006/main" count="98" uniqueCount="91">
  <si>
    <t>CPUC Proposal A: Arrearage Assistance Program</t>
  </si>
  <si>
    <t>Customer Class</t>
  </si>
  <si>
    <t>Unique Customer Accounts</t>
  </si>
  <si>
    <r>
      <t>Total Arrears</t>
    </r>
    <r>
      <rPr>
        <b/>
        <vertAlign val="superscript"/>
        <sz val="11"/>
        <color theme="0"/>
        <rFont val="Calibri"/>
        <family val="2"/>
        <scheme val="minor"/>
      </rPr>
      <t>1</t>
    </r>
  </si>
  <si>
    <t>If each customer is provided $200 in bill forgiveness</t>
  </si>
  <si>
    <t>Remaining Arrears for Payment Plan</t>
  </si>
  <si>
    <t>AAP Eligible Arrears (50% Forgiveness)</t>
  </si>
  <si>
    <t>Average Arrears / Customer</t>
  </si>
  <si>
    <t>Remaining Arrears Assuming Customer Completes All Requirements</t>
  </si>
  <si>
    <t>Non-Residential</t>
  </si>
  <si>
    <t>Small Business</t>
  </si>
  <si>
    <t>N/A</t>
  </si>
  <si>
    <r>
      <t>Residential</t>
    </r>
    <r>
      <rPr>
        <b/>
        <vertAlign val="superscript"/>
        <sz val="11"/>
        <color theme="1"/>
        <rFont val="Calibri"/>
        <family val="2"/>
        <scheme val="minor"/>
      </rPr>
      <t>2</t>
    </r>
  </si>
  <si>
    <t>CARE</t>
  </si>
  <si>
    <t>CARE &amp; MBL</t>
  </si>
  <si>
    <t>FERA</t>
  </si>
  <si>
    <t>FERA &amp; MBL</t>
  </si>
  <si>
    <t>Non CARE/FERA</t>
  </si>
  <si>
    <t>Non CARE/FERA &amp; MBL</t>
  </si>
  <si>
    <t>Residential Subtotal</t>
  </si>
  <si>
    <t>Grand Total</t>
  </si>
  <si>
    <r>
      <rPr>
        <vertAlign val="super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 SCE customers with arrears totals greater than or equal to $1,000 as of January 31, 2021.</t>
    </r>
  </si>
  <si>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SCE did not further breakdown customers that are eligible for LIHEAP payments and used CARE eligible customers as a proxy.</t>
    </r>
  </si>
  <si>
    <t>Denotes overlap for customer eligibility between Arrearage Assistance Program (AAP) and current Arrearage Management Plan (AMP) Program</t>
  </si>
  <si>
    <t>AMP and AAP Overlap</t>
  </si>
  <si>
    <t>Formula</t>
  </si>
  <si>
    <t>Number of Customers Eligible for 50% Arrearage Forgiveness in AAP</t>
  </si>
  <si>
    <t>A</t>
  </si>
  <si>
    <t>Number of Customers Eligible for current AMP Program</t>
  </si>
  <si>
    <t>B</t>
  </si>
  <si>
    <t>Percentage of Overlap</t>
  </si>
  <si>
    <t>=B/A</t>
  </si>
  <si>
    <t>Comparison Between AMP and AAP</t>
  </si>
  <si>
    <t>AMP</t>
  </si>
  <si>
    <t>AAP</t>
  </si>
  <si>
    <t>Minimum Arrears</t>
  </si>
  <si>
    <t>Forgiveness Maximum</t>
  </si>
  <si>
    <t>No cap</t>
  </si>
  <si>
    <t>Percent of Arrears Eligible for Forgiveness</t>
  </si>
  <si>
    <t>100% up to $8,000 maximum</t>
  </si>
  <si>
    <t>50% after upfront forgiveness</t>
  </si>
  <si>
    <t>Upfront Forgiveness</t>
  </si>
  <si>
    <t>d</t>
  </si>
  <si>
    <t>SCE Arrearage Management Plan (data as of 2/25/21)</t>
  </si>
  <si>
    <t>Number of Unique Customer Accounts</t>
  </si>
  <si>
    <t>Total Eligible Arrears</t>
  </si>
  <si>
    <t>Delta for Number of Unique Customer Accounts</t>
  </si>
  <si>
    <t>Delta for Total Arrears</t>
  </si>
  <si>
    <t>Current AMP Eligibility</t>
  </si>
  <si>
    <t>Scenarios</t>
  </si>
  <si>
    <t>Min. $200 in arrears</t>
  </si>
  <si>
    <t>Min. $300 in arrears</t>
  </si>
  <si>
    <t>Min. $400 in arrears</t>
  </si>
  <si>
    <t>Current AMP Enrollment</t>
  </si>
  <si>
    <t>Eligible Arrears for Forgiveness</t>
  </si>
  <si>
    <t>As of 3/18/21 (9:34AM)</t>
  </si>
  <si>
    <t>Month</t>
  </si>
  <si>
    <t>Data as of 3/2/21 
(Assumes all customers enroll in payment plans and make on-time payments)</t>
  </si>
  <si>
    <t>Total Arrears for These Customers</t>
  </si>
  <si>
    <t>Proposal B: all customers provided 24-month payment plans</t>
  </si>
  <si>
    <t>SCE Proposal Total</t>
  </si>
  <si>
    <t>Customers 1-month behind</t>
  </si>
  <si>
    <t>Customers 2-months behind</t>
  </si>
  <si>
    <t>Customers 3-months behind</t>
  </si>
  <si>
    <t>Customers 4-months behind</t>
  </si>
  <si>
    <t>Customers 5-months behind</t>
  </si>
  <si>
    <t>Customers 6-months behind</t>
  </si>
  <si>
    <t>Customers 7-months behind</t>
  </si>
  <si>
    <t>Customers 8-months behind</t>
  </si>
  <si>
    <t>Customers 9-months behind</t>
  </si>
  <si>
    <t>Customers 10-months behind</t>
  </si>
  <si>
    <t>Customers 11-months behind</t>
  </si>
  <si>
    <t>Customers 12-months or more behind</t>
  </si>
  <si>
    <t>Delta between CPUC and SCE Proposals</t>
  </si>
  <si>
    <t>Customers in Arrears</t>
  </si>
  <si>
    <t># of Customers</t>
  </si>
  <si>
    <t>Percent of Total</t>
  </si>
  <si>
    <t>1-3 months behind</t>
  </si>
  <si>
    <t>1-6 months behind</t>
  </si>
  <si>
    <t>Total Customers in Arrears</t>
  </si>
  <si>
    <t>Arrears Cash Flow</t>
  </si>
  <si>
    <t>Total Arrears</t>
  </si>
  <si>
    <t>Year 1</t>
  </si>
  <si>
    <t>Year 2</t>
  </si>
  <si>
    <t>Current (only 12-month payment plans)</t>
  </si>
  <si>
    <t>CPUC Proposal B</t>
  </si>
  <si>
    <t>SCE Proposal B modified</t>
  </si>
  <si>
    <t>Delta</t>
  </si>
  <si>
    <t>C=B-A</t>
  </si>
  <si>
    <t>Delta as Percent of Total</t>
  </si>
  <si>
    <t>=C/A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</si>
</sst>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0.0%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color theme="0"/>
      <name val="Calibri"/>
      <family val="2"/>
      <scheme val="minor"/>
    </font>
    <font>
      <b/>
      <vertAlign val="superscript"/>
      <sz val="11"/>
      <color theme="0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64A00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80">
    <xf numFmtId="0" fontId="0" fillId="0" borderId="0" xfId="0"/>
    <xf numFmtId="0" fontId="0" fillId="0" borderId="1" xfId="0" applyBorder="1"/>
    <xf numFmtId="164" fontId="0" fillId="0" borderId="1" xfId="0" applyNumberFormat="1" applyBorder="1"/>
    <xf numFmtId="0" fontId="1" fillId="0" borderId="1" xfId="0" applyFont="1" applyBorder="1" applyAlignment="1">
      <alignment horizontal="left" vertical="center"/>
    </xf>
    <xf numFmtId="164" fontId="0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quotePrefix="1" applyFont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164" fontId="0" fillId="2" borderId="1" xfId="1" applyNumberFormat="1" applyFont="1" applyFill="1" applyBorder="1" applyAlignment="1">
      <alignment vertical="center"/>
    </xf>
    <xf numFmtId="164" fontId="0" fillId="0" borderId="1" xfId="1" applyNumberFormat="1" applyFont="1" applyBorder="1"/>
    <xf numFmtId="165" fontId="0" fillId="0" borderId="1" xfId="0" applyNumberFormat="1" applyBorder="1"/>
    <xf numFmtId="0" fontId="6" fillId="3" borderId="1" xfId="0" applyFont="1" applyFill="1" applyBorder="1" applyAlignment="1">
      <alignment vertical="center"/>
    </xf>
    <xf numFmtId="0" fontId="5" fillId="3" borderId="1" xfId="0" applyFont="1" applyFill="1" applyBorder="1" applyAlignment="1">
      <alignment vertical="center"/>
    </xf>
    <xf numFmtId="165" fontId="0" fillId="0" borderId="0" xfId="0" applyNumberFormat="1"/>
    <xf numFmtId="0" fontId="1" fillId="0" borderId="1" xfId="0" applyFont="1" applyFill="1" applyBorder="1"/>
    <xf numFmtId="0" fontId="0" fillId="0" borderId="0" xfId="0" applyAlignment="1">
      <alignment horizontal="left"/>
    </xf>
    <xf numFmtId="165" fontId="0" fillId="0" borderId="1" xfId="2" applyNumberFormat="1" applyFont="1" applyBorder="1"/>
    <xf numFmtId="0" fontId="3" fillId="0" borderId="1" xfId="0" applyFont="1" applyBorder="1" applyAlignment="1">
      <alignment horizontal="left" indent="2"/>
    </xf>
    <xf numFmtId="0" fontId="1" fillId="0" borderId="0" xfId="0" applyFont="1" applyBorder="1"/>
    <xf numFmtId="0" fontId="0" fillId="0" borderId="0" xfId="0" applyBorder="1"/>
    <xf numFmtId="164" fontId="0" fillId="0" borderId="0" xfId="1" applyNumberFormat="1" applyFont="1" applyBorder="1"/>
    <xf numFmtId="164" fontId="1" fillId="0" borderId="1" xfId="1" applyNumberFormat="1" applyFont="1" applyBorder="1" applyAlignment="1">
      <alignment horizontal="center" vertical="center" wrapText="1"/>
    </xf>
    <xf numFmtId="165" fontId="6" fillId="3" borderId="1" xfId="2" applyNumberFormat="1" applyFont="1" applyFill="1" applyBorder="1" applyAlignment="1">
      <alignment vertical="center" wrapText="1"/>
    </xf>
    <xf numFmtId="164" fontId="6" fillId="3" borderId="1" xfId="1" applyNumberFormat="1" applyFont="1" applyFill="1" applyBorder="1" applyAlignment="1">
      <alignment vertical="center" wrapText="1"/>
    </xf>
    <xf numFmtId="0" fontId="0" fillId="4" borderId="1" xfId="0" applyFill="1" applyBorder="1" applyAlignment="1">
      <alignment horizontal="left" vertical="center" indent="2"/>
    </xf>
    <xf numFmtId="165" fontId="5" fillId="4" borderId="1" xfId="2" applyNumberFormat="1" applyFont="1" applyFill="1" applyBorder="1" applyAlignment="1">
      <alignment vertical="center" wrapText="1"/>
    </xf>
    <xf numFmtId="164" fontId="5" fillId="4" borderId="1" xfId="1" applyNumberFormat="1" applyFont="1" applyFill="1" applyBorder="1" applyAlignment="1">
      <alignment vertical="center" wrapText="1"/>
    </xf>
    <xf numFmtId="164" fontId="0" fillId="4" borderId="1" xfId="1" applyNumberFormat="1" applyFont="1" applyFill="1" applyBorder="1" applyAlignment="1">
      <alignment horizontal="center" vertical="center" wrapText="1"/>
    </xf>
    <xf numFmtId="164" fontId="1" fillId="0" borderId="1" xfId="1" applyNumberFormat="1" applyFont="1" applyBorder="1"/>
    <xf numFmtId="0" fontId="1" fillId="5" borderId="1" xfId="0" applyFont="1" applyFill="1" applyBorder="1"/>
    <xf numFmtId="0" fontId="0" fillId="5" borderId="1" xfId="0" applyFill="1" applyBorder="1"/>
    <xf numFmtId="0" fontId="5" fillId="3" borderId="1" xfId="0" applyFont="1" applyFill="1" applyBorder="1" applyAlignment="1">
      <alignment horizontal="left" indent="2"/>
    </xf>
    <xf numFmtId="165" fontId="5" fillId="3" borderId="1" xfId="2" applyNumberFormat="1" applyFont="1" applyFill="1" applyBorder="1"/>
    <xf numFmtId="164" fontId="5" fillId="3" borderId="1" xfId="1" applyNumberFormat="1" applyFont="1" applyFill="1" applyBorder="1"/>
    <xf numFmtId="165" fontId="5" fillId="3" borderId="1" xfId="2" applyNumberFormat="1" applyFont="1" applyFill="1" applyBorder="1" applyAlignment="1">
      <alignment horizontal="right"/>
    </xf>
    <xf numFmtId="165" fontId="0" fillId="5" borderId="1" xfId="2" applyNumberFormat="1" applyFont="1" applyFill="1" applyBorder="1"/>
    <xf numFmtId="164" fontId="0" fillId="5" borderId="1" xfId="1" applyNumberFormat="1" applyFont="1" applyFill="1" applyBorder="1"/>
    <xf numFmtId="0" fontId="0" fillId="3" borderId="1" xfId="0" applyFill="1" applyBorder="1" applyAlignment="1">
      <alignment horizontal="left" indent="2"/>
    </xf>
    <xf numFmtId="164" fontId="0" fillId="3" borderId="1" xfId="1" applyNumberFormat="1" applyFont="1" applyFill="1" applyBorder="1"/>
    <xf numFmtId="165" fontId="0" fillId="3" borderId="1" xfId="2" applyNumberFormat="1" applyFont="1" applyFill="1" applyBorder="1"/>
    <xf numFmtId="165" fontId="0" fillId="3" borderId="1" xfId="2" applyNumberFormat="1" applyFont="1" applyFill="1" applyBorder="1" applyAlignment="1">
      <alignment horizontal="right"/>
    </xf>
    <xf numFmtId="0" fontId="3" fillId="3" borderId="1" xfId="0" applyFont="1" applyFill="1" applyBorder="1" applyAlignment="1">
      <alignment horizontal="left" indent="2"/>
    </xf>
    <xf numFmtId="165" fontId="3" fillId="3" borderId="1" xfId="2" applyNumberFormat="1" applyFont="1" applyFill="1" applyBorder="1"/>
    <xf numFmtId="164" fontId="3" fillId="3" borderId="1" xfId="1" applyNumberFormat="1" applyFont="1" applyFill="1" applyBorder="1"/>
    <xf numFmtId="0" fontId="4" fillId="6" borderId="1" xfId="0" applyFont="1" applyFill="1" applyBorder="1" applyAlignment="1">
      <alignment vertical="center"/>
    </xf>
    <xf numFmtId="0" fontId="4" fillId="6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/>
    </xf>
    <xf numFmtId="0" fontId="4" fillId="6" borderId="1" xfId="0" applyFont="1" applyFill="1" applyBorder="1"/>
    <xf numFmtId="0" fontId="4" fillId="6" borderId="1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left" vertical="center" indent="2"/>
    </xf>
    <xf numFmtId="0" fontId="7" fillId="6" borderId="1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 wrapText="1"/>
    </xf>
    <xf numFmtId="165" fontId="4" fillId="6" borderId="1" xfId="2" applyNumberFormat="1" applyFont="1" applyFill="1" applyBorder="1"/>
    <xf numFmtId="164" fontId="4" fillId="6" borderId="1" xfId="1" applyNumberFormat="1" applyFont="1" applyFill="1" applyBorder="1"/>
    <xf numFmtId="165" fontId="0" fillId="7" borderId="1" xfId="2" applyNumberFormat="1" applyFont="1" applyFill="1" applyBorder="1"/>
    <xf numFmtId="164" fontId="0" fillId="7" borderId="1" xfId="1" applyNumberFormat="1" applyFont="1" applyFill="1" applyBorder="1"/>
    <xf numFmtId="166" fontId="0" fillId="0" borderId="1" xfId="3" applyNumberFormat="1" applyFont="1" applyBorder="1"/>
    <xf numFmtId="0" fontId="0" fillId="0" borderId="1" xfId="0" applyBorder="1" applyAlignment="1">
      <alignment wrapText="1"/>
    </xf>
    <xf numFmtId="0" fontId="1" fillId="0" borderId="1" xfId="0" applyFont="1" applyBorder="1" applyAlignment="1">
      <alignment wrapText="1"/>
    </xf>
    <xf numFmtId="0" fontId="3" fillId="0" borderId="6" xfId="0" applyFont="1" applyBorder="1" applyAlignment="1">
      <alignment horizontal="center"/>
    </xf>
    <xf numFmtId="0" fontId="11" fillId="6" borderId="1" xfId="0" applyFont="1" applyFill="1" applyBorder="1" applyAlignment="1">
      <alignment horizontal="center"/>
    </xf>
    <xf numFmtId="0" fontId="0" fillId="3" borderId="5" xfId="0" applyFill="1" applyBorder="1"/>
    <xf numFmtId="0" fontId="0" fillId="3" borderId="6" xfId="0" applyFill="1" applyBorder="1"/>
    <xf numFmtId="6" fontId="0" fillId="0" borderId="1" xfId="0" applyNumberFormat="1" applyBorder="1"/>
    <xf numFmtId="0" fontId="0" fillId="0" borderId="1" xfId="0" applyBorder="1" applyAlignment="1">
      <alignment horizontal="right"/>
    </xf>
    <xf numFmtId="9" fontId="0" fillId="0" borderId="1" xfId="0" applyNumberFormat="1" applyBorder="1" applyAlignment="1">
      <alignment horizontal="right" wrapText="1"/>
    </xf>
    <xf numFmtId="0" fontId="4" fillId="6" borderId="1" xfId="0" applyFont="1" applyFill="1" applyBorder="1" applyAlignment="1">
      <alignment wrapText="1"/>
    </xf>
    <xf numFmtId="0" fontId="4" fillId="6" borderId="1" xfId="0" applyFont="1" applyFill="1" applyBorder="1" applyAlignment="1">
      <alignment vertical="center" wrapText="1"/>
    </xf>
    <xf numFmtId="0" fontId="4" fillId="6" borderId="2" xfId="0" applyFont="1" applyFill="1" applyBorder="1" applyAlignment="1">
      <alignment horizontal="center"/>
    </xf>
    <xf numFmtId="0" fontId="4" fillId="6" borderId="4" xfId="0" applyFont="1" applyFill="1" applyBorder="1" applyAlignment="1">
      <alignment horizontal="center"/>
    </xf>
    <xf numFmtId="0" fontId="0" fillId="3" borderId="2" xfId="0" applyFill="1" applyBorder="1" applyAlignment="1">
      <alignment horizontal="left"/>
    </xf>
    <xf numFmtId="0" fontId="0" fillId="3" borderId="3" xfId="0" applyFill="1" applyBorder="1" applyAlignment="1">
      <alignment horizontal="left"/>
    </xf>
    <xf numFmtId="0" fontId="0" fillId="3" borderId="4" xfId="0" applyFill="1" applyBorder="1" applyAlignment="1">
      <alignment horizontal="left"/>
    </xf>
    <xf numFmtId="0" fontId="0" fillId="0" borderId="1" xfId="0" applyBorder="1" applyAlignment="1">
      <alignment horizontal="left"/>
    </xf>
    <xf numFmtId="0" fontId="0" fillId="7" borderId="1" xfId="0" applyFill="1" applyBorder="1" applyAlignment="1">
      <alignment horizontal="left"/>
    </xf>
    <xf numFmtId="0" fontId="12" fillId="6" borderId="0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</cellXfs>
  <cellStyles count="4">
    <cellStyle name="Comma" xfId="2" builtinId="3"/>
    <cellStyle name="Currency" xfId="1" builtinId="4"/>
    <cellStyle name="Normal" xfId="0" builtinId="0"/>
    <cellStyle name="Percent" xfId="3" builtinId="5"/>
  </cellStyles>
  <dxfs count="3">
    <dxf>
      <font>
        <color rgb="FFFF0000"/>
      </font>
    </dxf>
    <dxf>
      <font>
        <color rgb="FF00B050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64A000"/>
      <color rgb="FF22222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837BBD-9456-49F7-9F0E-EBC152FE0D06}">
  <dimension ref="A1:J30"/>
  <sheetViews>
    <sheetView showGridLines="0" tabSelected="1" zoomScaleNormal="100" workbookViewId="0">
      <selection activeCell="C27" sqref="C27"/>
    </sheetView>
  </sheetViews>
  <sheetFormatPr defaultRowHeight="15" x14ac:dyDescent="0.25"/>
  <cols>
    <col min="1" max="1" width="26" customWidth="1"/>
    <col min="2" max="2" width="18.85546875" customWidth="1"/>
    <col min="3" max="3" width="22.7109375" customWidth="1"/>
    <col min="4" max="4" width="19.140625" customWidth="1"/>
    <col min="5" max="5" width="19.85546875" bestFit="1" customWidth="1"/>
    <col min="6" max="6" width="20.5703125" bestFit="1" customWidth="1"/>
    <col min="7" max="7" width="13.140625" customWidth="1"/>
    <col min="8" max="8" width="23.7109375" customWidth="1"/>
  </cols>
  <sheetData>
    <row r="1" spans="1:10" ht="18.75" x14ac:dyDescent="0.3">
      <c r="A1" s="77" t="s">
        <v>0</v>
      </c>
      <c r="B1" s="77"/>
      <c r="C1" s="77"/>
      <c r="D1" s="77"/>
      <c r="E1" s="77"/>
      <c r="F1" s="77"/>
      <c r="G1" s="77"/>
      <c r="H1" s="77"/>
    </row>
    <row r="2" spans="1:10" ht="60" x14ac:dyDescent="0.25">
      <c r="A2" s="50" t="s">
        <v>1</v>
      </c>
      <c r="B2" s="53" t="s">
        <v>2</v>
      </c>
      <c r="C2" s="50" t="s">
        <v>3</v>
      </c>
      <c r="D2" s="53" t="s">
        <v>4</v>
      </c>
      <c r="E2" s="53" t="s">
        <v>5</v>
      </c>
      <c r="F2" s="53" t="s">
        <v>6</v>
      </c>
      <c r="G2" s="53" t="s">
        <v>7</v>
      </c>
      <c r="H2" s="53" t="s">
        <v>8</v>
      </c>
    </row>
    <row r="3" spans="1:10" x14ac:dyDescent="0.25">
      <c r="A3" s="31" t="s">
        <v>9</v>
      </c>
      <c r="B3" s="32"/>
      <c r="C3" s="32"/>
      <c r="D3" s="32"/>
      <c r="E3" s="32"/>
      <c r="F3" s="32"/>
      <c r="G3" s="32"/>
      <c r="H3" s="32"/>
    </row>
    <row r="4" spans="1:10" ht="15" customHeight="1" x14ac:dyDescent="0.25">
      <c r="A4" s="33" t="s">
        <v>10</v>
      </c>
      <c r="B4" s="34">
        <v>10644</v>
      </c>
      <c r="C4" s="35">
        <v>57217526.950000003</v>
      </c>
      <c r="D4" s="35">
        <f>B4*200</f>
        <v>2128800</v>
      </c>
      <c r="E4" s="35">
        <f>C4-D4</f>
        <v>55088726.950000003</v>
      </c>
      <c r="F4" s="36" t="s">
        <v>11</v>
      </c>
      <c r="G4" s="35">
        <f>C4/B4</f>
        <v>5375.5662298008274</v>
      </c>
      <c r="H4" s="35">
        <f>E4</f>
        <v>55088726.950000003</v>
      </c>
    </row>
    <row r="5" spans="1:10" ht="15" customHeight="1" x14ac:dyDescent="0.25">
      <c r="A5" s="31" t="s">
        <v>12</v>
      </c>
      <c r="B5" s="37"/>
      <c r="C5" s="38"/>
      <c r="D5" s="38"/>
      <c r="E5" s="37"/>
      <c r="F5" s="37"/>
      <c r="G5" s="38"/>
      <c r="H5" s="38"/>
    </row>
    <row r="6" spans="1:10" x14ac:dyDescent="0.25">
      <c r="A6" s="39" t="s">
        <v>13</v>
      </c>
      <c r="B6" s="56">
        <v>38307</v>
      </c>
      <c r="C6" s="40">
        <v>63066275.670000002</v>
      </c>
      <c r="D6" s="40">
        <f t="shared" ref="D6:D11" si="0">B6*200</f>
        <v>7661400</v>
      </c>
      <c r="E6" s="40">
        <f>C6-D6</f>
        <v>55404875.670000002</v>
      </c>
      <c r="F6" s="57">
        <f>E6/2</f>
        <v>27702437.835000001</v>
      </c>
      <c r="G6" s="40">
        <f t="shared" ref="G6:G13" si="1">C6/B6</f>
        <v>1646.3381541232673</v>
      </c>
      <c r="H6" s="40">
        <f>E6-F6</f>
        <v>27702437.835000001</v>
      </c>
    </row>
    <row r="7" spans="1:10" ht="15" customHeight="1" x14ac:dyDescent="0.25">
      <c r="A7" s="39" t="s">
        <v>14</v>
      </c>
      <c r="B7" s="56">
        <v>1844</v>
      </c>
      <c r="C7" s="40">
        <v>3321938.42</v>
      </c>
      <c r="D7" s="40">
        <f t="shared" si="0"/>
        <v>368800</v>
      </c>
      <c r="E7" s="40">
        <f t="shared" ref="E7:E11" si="2">C7-D7</f>
        <v>2953138.42</v>
      </c>
      <c r="F7" s="57">
        <f t="shared" ref="F7:F11" si="3">E7/2</f>
        <v>1476569.21</v>
      </c>
      <c r="G7" s="40">
        <f t="shared" si="1"/>
        <v>1801.4850433839479</v>
      </c>
      <c r="H7" s="40">
        <f t="shared" ref="H7:H13" si="4">E7-F7</f>
        <v>1476569.21</v>
      </c>
    </row>
    <row r="8" spans="1:10" x14ac:dyDescent="0.25">
      <c r="A8" s="39" t="s">
        <v>15</v>
      </c>
      <c r="B8" s="56">
        <v>1087</v>
      </c>
      <c r="C8" s="40">
        <v>1991271.45</v>
      </c>
      <c r="D8" s="40">
        <f t="shared" si="0"/>
        <v>217400</v>
      </c>
      <c r="E8" s="40">
        <f t="shared" si="2"/>
        <v>1773871.45</v>
      </c>
      <c r="F8" s="57">
        <f t="shared" si="3"/>
        <v>886935.72499999998</v>
      </c>
      <c r="G8" s="40">
        <f t="shared" si="1"/>
        <v>1831.8964581416742</v>
      </c>
      <c r="H8" s="40">
        <f t="shared" si="4"/>
        <v>886935.72499999998</v>
      </c>
    </row>
    <row r="9" spans="1:10" x14ac:dyDescent="0.25">
      <c r="A9" s="39" t="s">
        <v>16</v>
      </c>
      <c r="B9" s="56">
        <v>32</v>
      </c>
      <c r="C9" s="40">
        <v>60912.84</v>
      </c>
      <c r="D9" s="40">
        <f t="shared" si="0"/>
        <v>6400</v>
      </c>
      <c r="E9" s="40">
        <f t="shared" si="2"/>
        <v>54512.84</v>
      </c>
      <c r="F9" s="57">
        <f t="shared" si="3"/>
        <v>27256.42</v>
      </c>
      <c r="G9" s="40">
        <f t="shared" si="1"/>
        <v>1903.5262499999999</v>
      </c>
      <c r="H9" s="40">
        <f t="shared" si="4"/>
        <v>27256.42</v>
      </c>
      <c r="I9" s="15"/>
      <c r="J9" s="15"/>
    </row>
    <row r="10" spans="1:10" x14ac:dyDescent="0.25">
      <c r="A10" s="39" t="s">
        <v>17</v>
      </c>
      <c r="B10" s="41">
        <v>53104</v>
      </c>
      <c r="C10" s="40">
        <v>109121172.36</v>
      </c>
      <c r="D10" s="40">
        <f t="shared" si="0"/>
        <v>10620800</v>
      </c>
      <c r="E10" s="40">
        <f t="shared" si="2"/>
        <v>98500372.359999999</v>
      </c>
      <c r="F10" s="42" t="s">
        <v>11</v>
      </c>
      <c r="G10" s="40">
        <f t="shared" si="1"/>
        <v>2054.8578705935524</v>
      </c>
      <c r="H10" s="40">
        <f>E10</f>
        <v>98500372.359999999</v>
      </c>
    </row>
    <row r="11" spans="1:10" x14ac:dyDescent="0.25">
      <c r="A11" s="39" t="s">
        <v>18</v>
      </c>
      <c r="B11" s="41">
        <v>986</v>
      </c>
      <c r="C11" s="40">
        <v>2909423.38</v>
      </c>
      <c r="D11" s="40">
        <f t="shared" si="0"/>
        <v>197200</v>
      </c>
      <c r="E11" s="40">
        <f t="shared" si="2"/>
        <v>2712223.38</v>
      </c>
      <c r="F11" s="40">
        <f t="shared" si="3"/>
        <v>1356111.69</v>
      </c>
      <c r="G11" s="40">
        <f t="shared" si="1"/>
        <v>2950.7336511156186</v>
      </c>
      <c r="H11" s="40">
        <f t="shared" si="4"/>
        <v>1356111.69</v>
      </c>
    </row>
    <row r="12" spans="1:10" x14ac:dyDescent="0.25">
      <c r="A12" s="43" t="s">
        <v>19</v>
      </c>
      <c r="B12" s="44">
        <f>SUM(B6:B11)</f>
        <v>95360</v>
      </c>
      <c r="C12" s="45">
        <f>SUM(C6:C11)</f>
        <v>180470994.12</v>
      </c>
      <c r="D12" s="45">
        <f>SUM(D6:D11)</f>
        <v>19072000</v>
      </c>
      <c r="E12" s="45">
        <f>SUM(E6:E11)</f>
        <v>161398994.12</v>
      </c>
      <c r="F12" s="45">
        <f>SUM(F6:F11)</f>
        <v>31449310.880000006</v>
      </c>
      <c r="G12" s="45">
        <f t="shared" si="1"/>
        <v>1892.5230088087249</v>
      </c>
      <c r="H12" s="40">
        <f t="shared" si="4"/>
        <v>129949683.23999999</v>
      </c>
    </row>
    <row r="13" spans="1:10" x14ac:dyDescent="0.25">
      <c r="A13" s="49" t="s">
        <v>20</v>
      </c>
      <c r="B13" s="54">
        <f>SUM(B12,B4)</f>
        <v>106004</v>
      </c>
      <c r="C13" s="55">
        <f>SUM(C12,C4)</f>
        <v>237688521.06999999</v>
      </c>
      <c r="D13" s="55">
        <f>SUM(D12,D4)</f>
        <v>21200800</v>
      </c>
      <c r="E13" s="55">
        <f>SUM(E12,E4)</f>
        <v>216487721.06999999</v>
      </c>
      <c r="F13" s="55">
        <f>SUM(F12,F4)</f>
        <v>31449310.880000006</v>
      </c>
      <c r="G13" s="55">
        <f t="shared" si="1"/>
        <v>2242.2599248141578</v>
      </c>
      <c r="H13" s="55">
        <f t="shared" si="4"/>
        <v>185038410.19</v>
      </c>
    </row>
    <row r="14" spans="1:10" ht="17.25" x14ac:dyDescent="0.25">
      <c r="A14" s="72" t="s">
        <v>21</v>
      </c>
      <c r="B14" s="73"/>
      <c r="C14" s="73"/>
      <c r="D14" s="73"/>
      <c r="E14" s="73"/>
      <c r="F14" s="73"/>
      <c r="G14" s="73"/>
      <c r="H14" s="74"/>
    </row>
    <row r="15" spans="1:10" ht="17.25" x14ac:dyDescent="0.25">
      <c r="A15" s="75" t="s">
        <v>22</v>
      </c>
      <c r="B15" s="75"/>
      <c r="C15" s="75"/>
      <c r="D15" s="75"/>
      <c r="E15" s="75"/>
      <c r="F15" s="75"/>
      <c r="G15" s="75"/>
      <c r="H15" s="75"/>
    </row>
    <row r="16" spans="1:10" x14ac:dyDescent="0.25">
      <c r="A16" s="76" t="s">
        <v>23</v>
      </c>
      <c r="B16" s="76"/>
      <c r="C16" s="76"/>
      <c r="D16" s="76"/>
      <c r="E16" s="76"/>
      <c r="F16" s="76"/>
      <c r="G16" s="76"/>
      <c r="H16" s="76"/>
    </row>
    <row r="17" spans="1:6" x14ac:dyDescent="0.25">
      <c r="A17" s="63"/>
      <c r="B17" s="64"/>
      <c r="C17" s="61"/>
      <c r="D17" s="21"/>
    </row>
    <row r="18" spans="1:6" x14ac:dyDescent="0.25">
      <c r="A18" s="70" t="s">
        <v>24</v>
      </c>
      <c r="B18" s="71"/>
      <c r="C18" s="62" t="s">
        <v>25</v>
      </c>
    </row>
    <row r="19" spans="1:6" ht="45" x14ac:dyDescent="0.25">
      <c r="A19" s="59" t="s">
        <v>26</v>
      </c>
      <c r="B19" s="12">
        <f>B6+B7+B8+B9+B11</f>
        <v>42256</v>
      </c>
      <c r="C19" s="6" t="s">
        <v>27</v>
      </c>
    </row>
    <row r="20" spans="1:6" ht="45" x14ac:dyDescent="0.25">
      <c r="A20" s="59" t="s">
        <v>28</v>
      </c>
      <c r="B20" s="12">
        <f>B6+B7+B8+B9</f>
        <v>41270</v>
      </c>
      <c r="C20" s="6" t="s">
        <v>29</v>
      </c>
    </row>
    <row r="21" spans="1:6" x14ac:dyDescent="0.25">
      <c r="A21" s="1" t="s">
        <v>30</v>
      </c>
      <c r="B21" s="58">
        <f>B20/B19</f>
        <v>0.97666603559257859</v>
      </c>
      <c r="C21" s="6" t="s">
        <v>31</v>
      </c>
    </row>
    <row r="24" spans="1:6" ht="30" x14ac:dyDescent="0.25">
      <c r="A24" s="68" t="s">
        <v>32</v>
      </c>
      <c r="B24" s="50" t="s">
        <v>33</v>
      </c>
      <c r="C24" s="50" t="s">
        <v>34</v>
      </c>
    </row>
    <row r="25" spans="1:6" x14ac:dyDescent="0.25">
      <c r="A25" s="7" t="s">
        <v>35</v>
      </c>
      <c r="B25" s="65">
        <v>500</v>
      </c>
      <c r="C25" s="65">
        <v>1000</v>
      </c>
    </row>
    <row r="26" spans="1:6" x14ac:dyDescent="0.25">
      <c r="A26" s="7" t="s">
        <v>36</v>
      </c>
      <c r="B26" s="65">
        <v>8000</v>
      </c>
      <c r="C26" s="66" t="s">
        <v>37</v>
      </c>
    </row>
    <row r="27" spans="1:6" ht="30" x14ac:dyDescent="0.25">
      <c r="A27" s="60" t="s">
        <v>38</v>
      </c>
      <c r="B27" s="67" t="s">
        <v>39</v>
      </c>
      <c r="C27" s="67" t="s">
        <v>40</v>
      </c>
    </row>
    <row r="28" spans="1:6" x14ac:dyDescent="0.25">
      <c r="A28" s="7" t="s">
        <v>41</v>
      </c>
      <c r="B28" s="65">
        <v>0</v>
      </c>
      <c r="C28" s="65">
        <v>200</v>
      </c>
    </row>
    <row r="30" spans="1:6" x14ac:dyDescent="0.25">
      <c r="F30" t="s">
        <v>42</v>
      </c>
    </row>
  </sheetData>
  <mergeCells count="5">
    <mergeCell ref="A18:B18"/>
    <mergeCell ref="A14:H14"/>
    <mergeCell ref="A15:H15"/>
    <mergeCell ref="A16:H16"/>
    <mergeCell ref="A1:H1"/>
  </mergeCells>
  <conditionalFormatting sqref="A25:A28">
    <cfRule type="duplicateValues" dxfId="2" priority="1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41AC71-8373-4ADE-B3C5-CA1FFA8CEC92}">
  <dimension ref="A1:F10"/>
  <sheetViews>
    <sheetView showGridLines="0" workbookViewId="0">
      <selection activeCell="C3" sqref="C3"/>
    </sheetView>
  </sheetViews>
  <sheetFormatPr defaultRowHeight="15" x14ac:dyDescent="0.25"/>
  <cols>
    <col min="1" max="1" width="21.42578125" bestFit="1" customWidth="1"/>
    <col min="2" max="6" width="16.7109375" customWidth="1"/>
  </cols>
  <sheetData>
    <row r="1" spans="1:6" x14ac:dyDescent="0.25">
      <c r="E1" s="78"/>
      <c r="F1" s="78"/>
    </row>
    <row r="2" spans="1:6" ht="60" x14ac:dyDescent="0.25">
      <c r="A2" s="53" t="s">
        <v>43</v>
      </c>
      <c r="B2" s="53" t="s">
        <v>44</v>
      </c>
      <c r="C2" s="53" t="s">
        <v>45</v>
      </c>
      <c r="D2" s="53" t="s">
        <v>7</v>
      </c>
      <c r="E2" s="53" t="s">
        <v>46</v>
      </c>
      <c r="F2" s="53" t="s">
        <v>47</v>
      </c>
    </row>
    <row r="3" spans="1:6" x14ac:dyDescent="0.25">
      <c r="A3" s="7" t="s">
        <v>48</v>
      </c>
      <c r="B3" s="18">
        <v>98695</v>
      </c>
      <c r="C3" s="11">
        <v>123719034.92</v>
      </c>
      <c r="D3" s="11">
        <f>C3/B3</f>
        <v>1253.549165813871</v>
      </c>
      <c r="E3" s="1"/>
      <c r="F3" s="1"/>
    </row>
    <row r="4" spans="1:6" x14ac:dyDescent="0.25">
      <c r="A4" s="7" t="s">
        <v>49</v>
      </c>
      <c r="B4" s="1"/>
      <c r="C4" s="1"/>
      <c r="D4" s="1"/>
      <c r="E4" s="1"/>
      <c r="F4" s="1"/>
    </row>
    <row r="5" spans="1:6" x14ac:dyDescent="0.25">
      <c r="A5" s="19" t="s">
        <v>50</v>
      </c>
      <c r="B5" s="18">
        <v>161557</v>
      </c>
      <c r="C5" s="11">
        <v>148072134.55000001</v>
      </c>
      <c r="D5" s="11">
        <f>C5/B5</f>
        <v>916.53184046497529</v>
      </c>
      <c r="E5" s="12">
        <f>B5-$B$3</f>
        <v>62862</v>
      </c>
      <c r="F5" s="2">
        <f>C5-$C$3</f>
        <v>24353099.63000001</v>
      </c>
    </row>
    <row r="6" spans="1:6" x14ac:dyDescent="0.25">
      <c r="A6" s="19" t="s">
        <v>51</v>
      </c>
      <c r="B6" s="18">
        <v>138074</v>
      </c>
      <c r="C6" s="11">
        <v>141226905.96000001</v>
      </c>
      <c r="D6" s="11">
        <f t="shared" ref="D6:D7" si="0">C6/B6</f>
        <v>1022.8348998363197</v>
      </c>
      <c r="E6" s="12">
        <f t="shared" ref="E6:E7" si="1">B6-$B$3</f>
        <v>39379</v>
      </c>
      <c r="F6" s="2">
        <f t="shared" ref="F6:F7" si="2">C6-$C$3</f>
        <v>17507871.040000007</v>
      </c>
    </row>
    <row r="7" spans="1:6" x14ac:dyDescent="0.25">
      <c r="A7" s="19" t="s">
        <v>52</v>
      </c>
      <c r="B7" s="18">
        <v>116690</v>
      </c>
      <c r="C7" s="11">
        <v>132732010.34999999</v>
      </c>
      <c r="D7" s="11">
        <f t="shared" si="0"/>
        <v>1137.4754507669893</v>
      </c>
      <c r="E7" s="12">
        <f t="shared" si="1"/>
        <v>17995</v>
      </c>
      <c r="F7" s="2">
        <f t="shared" si="2"/>
        <v>9012975.4299999923</v>
      </c>
    </row>
    <row r="8" spans="1:6" x14ac:dyDescent="0.25">
      <c r="A8" s="17"/>
    </row>
    <row r="9" spans="1:6" ht="45" x14ac:dyDescent="0.25">
      <c r="A9" s="53" t="s">
        <v>53</v>
      </c>
      <c r="B9" s="53" t="s">
        <v>44</v>
      </c>
      <c r="C9" s="53" t="s">
        <v>54</v>
      </c>
    </row>
    <row r="10" spans="1:6" x14ac:dyDescent="0.25">
      <c r="A10" s="1" t="s">
        <v>55</v>
      </c>
      <c r="B10" s="18">
        <v>6032</v>
      </c>
      <c r="C10" s="11">
        <v>7147103.7039999999</v>
      </c>
    </row>
  </sheetData>
  <mergeCells count="1">
    <mergeCell ref="E1:F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779663-2C6E-4E23-BDE5-50F7E0417ACE}">
  <dimension ref="A1:AA29"/>
  <sheetViews>
    <sheetView showGridLines="0" workbookViewId="0">
      <selection activeCell="B25" sqref="B25:B26"/>
    </sheetView>
  </sheetViews>
  <sheetFormatPr defaultRowHeight="15" x14ac:dyDescent="0.25"/>
  <cols>
    <col min="1" max="1" width="36.5703125" customWidth="1"/>
    <col min="2" max="2" width="17.5703125" customWidth="1"/>
    <col min="3" max="3" width="16" customWidth="1"/>
    <col min="4" max="15" width="16" bestFit="1" customWidth="1"/>
    <col min="16" max="17" width="14.7109375" bestFit="1" customWidth="1"/>
    <col min="18" max="19" width="14.28515625" bestFit="1" customWidth="1"/>
    <col min="20" max="27" width="15.28515625" bestFit="1" customWidth="1"/>
  </cols>
  <sheetData>
    <row r="1" spans="1:27" x14ac:dyDescent="0.25">
      <c r="A1" s="1"/>
      <c r="B1" s="1"/>
      <c r="C1" s="1"/>
      <c r="D1" s="79" t="s">
        <v>56</v>
      </c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79"/>
      <c r="Z1" s="79"/>
      <c r="AA1" s="79"/>
    </row>
    <row r="2" spans="1:27" ht="60" x14ac:dyDescent="0.25">
      <c r="A2" s="69" t="s">
        <v>57</v>
      </c>
      <c r="B2" s="47" t="s">
        <v>44</v>
      </c>
      <c r="C2" s="47" t="s">
        <v>58</v>
      </c>
      <c r="D2" s="48">
        <v>1</v>
      </c>
      <c r="E2" s="48">
        <v>2</v>
      </c>
      <c r="F2" s="48">
        <v>3</v>
      </c>
      <c r="G2" s="48">
        <v>4</v>
      </c>
      <c r="H2" s="48">
        <v>5</v>
      </c>
      <c r="I2" s="48">
        <v>6</v>
      </c>
      <c r="J2" s="48">
        <v>7</v>
      </c>
      <c r="K2" s="48">
        <v>8</v>
      </c>
      <c r="L2" s="48">
        <v>9</v>
      </c>
      <c r="M2" s="48">
        <v>10</v>
      </c>
      <c r="N2" s="48">
        <v>11</v>
      </c>
      <c r="O2" s="48">
        <v>12</v>
      </c>
      <c r="P2" s="48">
        <v>13</v>
      </c>
      <c r="Q2" s="48">
        <v>14</v>
      </c>
      <c r="R2" s="48">
        <v>15</v>
      </c>
      <c r="S2" s="48">
        <v>16</v>
      </c>
      <c r="T2" s="48">
        <v>17</v>
      </c>
      <c r="U2" s="48">
        <v>18</v>
      </c>
      <c r="V2" s="48">
        <v>19</v>
      </c>
      <c r="W2" s="48">
        <v>20</v>
      </c>
      <c r="X2" s="48">
        <v>21</v>
      </c>
      <c r="Y2" s="48">
        <v>22</v>
      </c>
      <c r="Z2" s="48">
        <v>23</v>
      </c>
      <c r="AA2" s="48">
        <v>24</v>
      </c>
    </row>
    <row r="3" spans="1:27" ht="30" x14ac:dyDescent="0.25">
      <c r="A3" s="9" t="s">
        <v>59</v>
      </c>
      <c r="B3" s="24">
        <v>935494</v>
      </c>
      <c r="C3" s="25">
        <v>437881181.96999979</v>
      </c>
      <c r="D3" s="23">
        <f>$C$3/24</f>
        <v>18245049.24874999</v>
      </c>
      <c r="E3" s="23">
        <f t="shared" ref="E3:AA3" si="0">$C$3/24</f>
        <v>18245049.24874999</v>
      </c>
      <c r="F3" s="23">
        <f t="shared" si="0"/>
        <v>18245049.24874999</v>
      </c>
      <c r="G3" s="23">
        <f t="shared" si="0"/>
        <v>18245049.24874999</v>
      </c>
      <c r="H3" s="23">
        <f t="shared" si="0"/>
        <v>18245049.24874999</v>
      </c>
      <c r="I3" s="23">
        <f t="shared" si="0"/>
        <v>18245049.24874999</v>
      </c>
      <c r="J3" s="23">
        <f t="shared" si="0"/>
        <v>18245049.24874999</v>
      </c>
      <c r="K3" s="23">
        <f t="shared" si="0"/>
        <v>18245049.24874999</v>
      </c>
      <c r="L3" s="23">
        <f t="shared" si="0"/>
        <v>18245049.24874999</v>
      </c>
      <c r="M3" s="23">
        <f t="shared" si="0"/>
        <v>18245049.24874999</v>
      </c>
      <c r="N3" s="23">
        <f t="shared" si="0"/>
        <v>18245049.24874999</v>
      </c>
      <c r="O3" s="23">
        <f t="shared" si="0"/>
        <v>18245049.24874999</v>
      </c>
      <c r="P3" s="23">
        <f t="shared" si="0"/>
        <v>18245049.24874999</v>
      </c>
      <c r="Q3" s="23">
        <f t="shared" si="0"/>
        <v>18245049.24874999</v>
      </c>
      <c r="R3" s="23">
        <f t="shared" si="0"/>
        <v>18245049.24874999</v>
      </c>
      <c r="S3" s="23">
        <f t="shared" si="0"/>
        <v>18245049.24874999</v>
      </c>
      <c r="T3" s="23">
        <f t="shared" si="0"/>
        <v>18245049.24874999</v>
      </c>
      <c r="U3" s="23">
        <f t="shared" si="0"/>
        <v>18245049.24874999</v>
      </c>
      <c r="V3" s="23">
        <f t="shared" si="0"/>
        <v>18245049.24874999</v>
      </c>
      <c r="W3" s="23">
        <f t="shared" si="0"/>
        <v>18245049.24874999</v>
      </c>
      <c r="X3" s="23">
        <f t="shared" si="0"/>
        <v>18245049.24874999</v>
      </c>
      <c r="Y3" s="23">
        <f t="shared" si="0"/>
        <v>18245049.24874999</v>
      </c>
      <c r="Z3" s="23">
        <f t="shared" si="0"/>
        <v>18245049.24874999</v>
      </c>
      <c r="AA3" s="23">
        <f t="shared" si="0"/>
        <v>18245049.24874999</v>
      </c>
    </row>
    <row r="4" spans="1:27" x14ac:dyDescent="0.25">
      <c r="A4" s="8" t="s">
        <v>60</v>
      </c>
      <c r="B4" s="13"/>
      <c r="C4" s="14"/>
      <c r="D4" s="23">
        <f>SUM(D5:D16)</f>
        <v>29026414.994004309</v>
      </c>
      <c r="E4" s="23">
        <f t="shared" ref="E4:AA4" si="1">SUM(E5:E16)</f>
        <v>29026414.994004309</v>
      </c>
      <c r="F4" s="23">
        <f t="shared" si="1"/>
        <v>29026414.994004309</v>
      </c>
      <c r="G4" s="23">
        <f t="shared" si="1"/>
        <v>29026414.994004309</v>
      </c>
      <c r="H4" s="23">
        <f t="shared" si="1"/>
        <v>29026414.994004309</v>
      </c>
      <c r="I4" s="23">
        <f t="shared" si="1"/>
        <v>29026414.994004309</v>
      </c>
      <c r="J4" s="23">
        <f t="shared" si="1"/>
        <v>29026414.994004309</v>
      </c>
      <c r="K4" s="23">
        <f t="shared" si="1"/>
        <v>29026414.994004309</v>
      </c>
      <c r="L4" s="23">
        <f t="shared" si="1"/>
        <v>29026414.994004309</v>
      </c>
      <c r="M4" s="23">
        <f t="shared" si="1"/>
        <v>29026414.994004309</v>
      </c>
      <c r="N4" s="23">
        <f t="shared" si="1"/>
        <v>29026414.994004309</v>
      </c>
      <c r="O4" s="23">
        <f t="shared" si="1"/>
        <v>29026414.994004309</v>
      </c>
      <c r="P4" s="23">
        <f t="shared" si="1"/>
        <v>11447912.919004317</v>
      </c>
      <c r="Q4" s="23">
        <f t="shared" si="1"/>
        <v>11447912.919004317</v>
      </c>
      <c r="R4" s="23">
        <f t="shared" si="1"/>
        <v>9224926.4025757536</v>
      </c>
      <c r="S4" s="23">
        <f t="shared" si="1"/>
        <v>9224926.4025757536</v>
      </c>
      <c r="T4" s="23">
        <f t="shared" si="1"/>
        <v>7658905.6613257527</v>
      </c>
      <c r="U4" s="23">
        <f t="shared" si="1"/>
        <v>7658905.6613257527</v>
      </c>
      <c r="V4" s="23">
        <f t="shared" si="1"/>
        <v>6379388.0146590862</v>
      </c>
      <c r="W4" s="23">
        <f t="shared" si="1"/>
        <v>6379388.0146590862</v>
      </c>
      <c r="X4" s="23">
        <f t="shared" si="1"/>
        <v>5558565.0046590865</v>
      </c>
      <c r="Y4" s="23">
        <f t="shared" si="1"/>
        <v>5558565.0046590865</v>
      </c>
      <c r="Z4" s="23">
        <f t="shared" si="1"/>
        <v>4512403.0187499952</v>
      </c>
      <c r="AA4" s="23">
        <f t="shared" si="1"/>
        <v>4512403.0187499952</v>
      </c>
    </row>
    <row r="5" spans="1:27" x14ac:dyDescent="0.25">
      <c r="A5" s="26" t="s">
        <v>61</v>
      </c>
      <c r="B5" s="27">
        <v>407715</v>
      </c>
      <c r="C5" s="28">
        <v>54732890.560000002</v>
      </c>
      <c r="D5" s="29">
        <f>$C$5/12</f>
        <v>4561074.2133333338</v>
      </c>
      <c r="E5" s="29">
        <f t="shared" ref="E5:O5" si="2">$C$5/12</f>
        <v>4561074.2133333338</v>
      </c>
      <c r="F5" s="29">
        <f t="shared" si="2"/>
        <v>4561074.2133333338</v>
      </c>
      <c r="G5" s="29">
        <f t="shared" si="2"/>
        <v>4561074.2133333338</v>
      </c>
      <c r="H5" s="29">
        <f t="shared" si="2"/>
        <v>4561074.2133333338</v>
      </c>
      <c r="I5" s="29">
        <f t="shared" si="2"/>
        <v>4561074.2133333338</v>
      </c>
      <c r="J5" s="29">
        <f t="shared" si="2"/>
        <v>4561074.2133333338</v>
      </c>
      <c r="K5" s="29">
        <f t="shared" si="2"/>
        <v>4561074.2133333338</v>
      </c>
      <c r="L5" s="29">
        <f t="shared" si="2"/>
        <v>4561074.2133333338</v>
      </c>
      <c r="M5" s="29">
        <f t="shared" si="2"/>
        <v>4561074.2133333338</v>
      </c>
      <c r="N5" s="29">
        <f t="shared" si="2"/>
        <v>4561074.2133333338</v>
      </c>
      <c r="O5" s="29">
        <f t="shared" si="2"/>
        <v>4561074.2133333338</v>
      </c>
      <c r="P5" s="10">
        <v>0</v>
      </c>
      <c r="Q5" s="10">
        <v>0</v>
      </c>
      <c r="R5" s="10">
        <v>0</v>
      </c>
      <c r="S5" s="10">
        <v>0</v>
      </c>
      <c r="T5" s="10">
        <v>0</v>
      </c>
      <c r="U5" s="10">
        <v>0</v>
      </c>
      <c r="V5" s="10">
        <v>0</v>
      </c>
      <c r="W5" s="10">
        <v>0</v>
      </c>
      <c r="X5" s="10">
        <v>0</v>
      </c>
      <c r="Y5" s="10">
        <v>0</v>
      </c>
      <c r="Z5" s="10">
        <v>0</v>
      </c>
      <c r="AA5" s="10">
        <v>0</v>
      </c>
    </row>
    <row r="6" spans="1:27" x14ac:dyDescent="0.25">
      <c r="A6" s="26" t="s">
        <v>62</v>
      </c>
      <c r="B6" s="27">
        <v>128920</v>
      </c>
      <c r="C6" s="28">
        <v>32322219.249999989</v>
      </c>
      <c r="D6" s="29">
        <f>$C$6/12</f>
        <v>2693518.2708333326</v>
      </c>
      <c r="E6" s="29">
        <f t="shared" ref="E6:O6" si="3">$C$6/12</f>
        <v>2693518.2708333326</v>
      </c>
      <c r="F6" s="29">
        <f t="shared" si="3"/>
        <v>2693518.2708333326</v>
      </c>
      <c r="G6" s="29">
        <f t="shared" si="3"/>
        <v>2693518.2708333326</v>
      </c>
      <c r="H6" s="29">
        <f t="shared" si="3"/>
        <v>2693518.2708333326</v>
      </c>
      <c r="I6" s="29">
        <f t="shared" si="3"/>
        <v>2693518.2708333326</v>
      </c>
      <c r="J6" s="29">
        <f t="shared" si="3"/>
        <v>2693518.2708333326</v>
      </c>
      <c r="K6" s="29">
        <f t="shared" si="3"/>
        <v>2693518.2708333326</v>
      </c>
      <c r="L6" s="29">
        <f t="shared" si="3"/>
        <v>2693518.2708333326</v>
      </c>
      <c r="M6" s="29">
        <f t="shared" si="3"/>
        <v>2693518.2708333326</v>
      </c>
      <c r="N6" s="29">
        <f t="shared" si="3"/>
        <v>2693518.2708333326</v>
      </c>
      <c r="O6" s="29">
        <f t="shared" si="3"/>
        <v>2693518.2708333326</v>
      </c>
      <c r="P6" s="10">
        <v>0</v>
      </c>
      <c r="Q6" s="10">
        <v>0</v>
      </c>
      <c r="R6" s="10">
        <v>0</v>
      </c>
      <c r="S6" s="10">
        <v>0</v>
      </c>
      <c r="T6" s="10">
        <v>0</v>
      </c>
      <c r="U6" s="10">
        <v>0</v>
      </c>
      <c r="V6" s="10">
        <v>0</v>
      </c>
      <c r="W6" s="10">
        <v>0</v>
      </c>
      <c r="X6" s="10">
        <v>0</v>
      </c>
      <c r="Y6" s="10">
        <v>0</v>
      </c>
      <c r="Z6" s="10">
        <v>0</v>
      </c>
      <c r="AA6" s="10">
        <v>0</v>
      </c>
    </row>
    <row r="7" spans="1:27" x14ac:dyDescent="0.25">
      <c r="A7" s="26" t="s">
        <v>63</v>
      </c>
      <c r="B7" s="27">
        <v>72068</v>
      </c>
      <c r="C7" s="28">
        <v>24982149.609999999</v>
      </c>
      <c r="D7" s="29">
        <f>$C$7/12</f>
        <v>2081845.8008333333</v>
      </c>
      <c r="E7" s="29">
        <f t="shared" ref="E7:O7" si="4">$C$7/12</f>
        <v>2081845.8008333333</v>
      </c>
      <c r="F7" s="29">
        <f t="shared" si="4"/>
        <v>2081845.8008333333</v>
      </c>
      <c r="G7" s="29">
        <f t="shared" si="4"/>
        <v>2081845.8008333333</v>
      </c>
      <c r="H7" s="29">
        <f t="shared" si="4"/>
        <v>2081845.8008333333</v>
      </c>
      <c r="I7" s="29">
        <f t="shared" si="4"/>
        <v>2081845.8008333333</v>
      </c>
      <c r="J7" s="29">
        <f t="shared" si="4"/>
        <v>2081845.8008333333</v>
      </c>
      <c r="K7" s="29">
        <f t="shared" si="4"/>
        <v>2081845.8008333333</v>
      </c>
      <c r="L7" s="29">
        <f t="shared" si="4"/>
        <v>2081845.8008333333</v>
      </c>
      <c r="M7" s="29">
        <f t="shared" si="4"/>
        <v>2081845.8008333333</v>
      </c>
      <c r="N7" s="29">
        <f t="shared" si="4"/>
        <v>2081845.8008333333</v>
      </c>
      <c r="O7" s="29">
        <f t="shared" si="4"/>
        <v>2081845.8008333333</v>
      </c>
      <c r="P7" s="10">
        <v>0</v>
      </c>
      <c r="Q7" s="10">
        <v>0</v>
      </c>
      <c r="R7" s="10">
        <v>0</v>
      </c>
      <c r="S7" s="10">
        <v>0</v>
      </c>
      <c r="T7" s="10">
        <v>0</v>
      </c>
      <c r="U7" s="10">
        <v>0</v>
      </c>
      <c r="V7" s="10">
        <v>0</v>
      </c>
      <c r="W7" s="10">
        <v>0</v>
      </c>
      <c r="X7" s="10">
        <v>0</v>
      </c>
      <c r="Y7" s="10">
        <v>0</v>
      </c>
      <c r="Z7" s="10">
        <v>0</v>
      </c>
      <c r="AA7" s="10">
        <v>0</v>
      </c>
    </row>
    <row r="8" spans="1:27" x14ac:dyDescent="0.25">
      <c r="A8" s="26" t="s">
        <v>64</v>
      </c>
      <c r="B8" s="27">
        <v>62117</v>
      </c>
      <c r="C8" s="28">
        <v>28460129.390000001</v>
      </c>
      <c r="D8" s="29">
        <f>$C$8/12</f>
        <v>2371677.4491666667</v>
      </c>
      <c r="E8" s="29">
        <f t="shared" ref="E8:O8" si="5">$C$8/12</f>
        <v>2371677.4491666667</v>
      </c>
      <c r="F8" s="29">
        <f t="shared" si="5"/>
        <v>2371677.4491666667</v>
      </c>
      <c r="G8" s="29">
        <f t="shared" si="5"/>
        <v>2371677.4491666667</v>
      </c>
      <c r="H8" s="29">
        <f t="shared" si="5"/>
        <v>2371677.4491666667</v>
      </c>
      <c r="I8" s="29">
        <f t="shared" si="5"/>
        <v>2371677.4491666667</v>
      </c>
      <c r="J8" s="29">
        <f t="shared" si="5"/>
        <v>2371677.4491666667</v>
      </c>
      <c r="K8" s="29">
        <f t="shared" si="5"/>
        <v>2371677.4491666667</v>
      </c>
      <c r="L8" s="29">
        <f t="shared" si="5"/>
        <v>2371677.4491666667</v>
      </c>
      <c r="M8" s="29">
        <f t="shared" si="5"/>
        <v>2371677.4491666667</v>
      </c>
      <c r="N8" s="29">
        <f t="shared" si="5"/>
        <v>2371677.4491666667</v>
      </c>
      <c r="O8" s="29">
        <f t="shared" si="5"/>
        <v>2371677.4491666667</v>
      </c>
      <c r="P8" s="10">
        <v>0</v>
      </c>
      <c r="Q8" s="10">
        <v>0</v>
      </c>
      <c r="R8" s="10">
        <v>0</v>
      </c>
      <c r="S8" s="10">
        <v>0</v>
      </c>
      <c r="T8" s="10">
        <v>0</v>
      </c>
      <c r="U8" s="10">
        <v>0</v>
      </c>
      <c r="V8" s="10">
        <v>0</v>
      </c>
      <c r="W8" s="10">
        <v>0</v>
      </c>
      <c r="X8" s="10">
        <v>0</v>
      </c>
      <c r="Y8" s="10">
        <v>0</v>
      </c>
      <c r="Z8" s="10">
        <v>0</v>
      </c>
      <c r="AA8" s="10">
        <v>0</v>
      </c>
    </row>
    <row r="9" spans="1:27" x14ac:dyDescent="0.25">
      <c r="A9" s="26" t="s">
        <v>65</v>
      </c>
      <c r="B9" s="27">
        <v>55053</v>
      </c>
      <c r="C9" s="28">
        <v>34981401.200000003</v>
      </c>
      <c r="D9" s="29">
        <f>$C$9/12</f>
        <v>2915116.7666666671</v>
      </c>
      <c r="E9" s="29">
        <f t="shared" ref="E9:O9" si="6">$C$9/12</f>
        <v>2915116.7666666671</v>
      </c>
      <c r="F9" s="29">
        <f t="shared" si="6"/>
        <v>2915116.7666666671</v>
      </c>
      <c r="G9" s="29">
        <f t="shared" si="6"/>
        <v>2915116.7666666671</v>
      </c>
      <c r="H9" s="29">
        <f t="shared" si="6"/>
        <v>2915116.7666666671</v>
      </c>
      <c r="I9" s="29">
        <f t="shared" si="6"/>
        <v>2915116.7666666671</v>
      </c>
      <c r="J9" s="29">
        <f t="shared" si="6"/>
        <v>2915116.7666666671</v>
      </c>
      <c r="K9" s="29">
        <f t="shared" si="6"/>
        <v>2915116.7666666671</v>
      </c>
      <c r="L9" s="29">
        <f t="shared" si="6"/>
        <v>2915116.7666666671</v>
      </c>
      <c r="M9" s="29">
        <f t="shared" si="6"/>
        <v>2915116.7666666671</v>
      </c>
      <c r="N9" s="29">
        <f t="shared" si="6"/>
        <v>2915116.7666666671</v>
      </c>
      <c r="O9" s="29">
        <f t="shared" si="6"/>
        <v>2915116.7666666671</v>
      </c>
      <c r="P9" s="10">
        <v>0</v>
      </c>
      <c r="Q9" s="10">
        <v>0</v>
      </c>
      <c r="R9" s="10">
        <v>0</v>
      </c>
      <c r="S9" s="10">
        <v>0</v>
      </c>
      <c r="T9" s="10">
        <v>0</v>
      </c>
      <c r="U9" s="10">
        <v>0</v>
      </c>
      <c r="V9" s="10">
        <v>0</v>
      </c>
      <c r="W9" s="10">
        <v>0</v>
      </c>
      <c r="X9" s="10">
        <v>0</v>
      </c>
      <c r="Y9" s="10">
        <v>0</v>
      </c>
      <c r="Z9" s="10">
        <v>0</v>
      </c>
      <c r="AA9" s="10">
        <v>0</v>
      </c>
    </row>
    <row r="10" spans="1:27" x14ac:dyDescent="0.25">
      <c r="A10" s="26" t="s">
        <v>66</v>
      </c>
      <c r="B10" s="27">
        <v>42443</v>
      </c>
      <c r="C10" s="28">
        <v>35463234.889999896</v>
      </c>
      <c r="D10" s="29">
        <f>$C$10/12</f>
        <v>2955269.5741666579</v>
      </c>
      <c r="E10" s="29">
        <f t="shared" ref="E10:O10" si="7">$C$10/12</f>
        <v>2955269.5741666579</v>
      </c>
      <c r="F10" s="29">
        <f t="shared" si="7"/>
        <v>2955269.5741666579</v>
      </c>
      <c r="G10" s="29">
        <f t="shared" si="7"/>
        <v>2955269.5741666579</v>
      </c>
      <c r="H10" s="29">
        <f t="shared" si="7"/>
        <v>2955269.5741666579</v>
      </c>
      <c r="I10" s="29">
        <f t="shared" si="7"/>
        <v>2955269.5741666579</v>
      </c>
      <c r="J10" s="29">
        <f t="shared" si="7"/>
        <v>2955269.5741666579</v>
      </c>
      <c r="K10" s="29">
        <f t="shared" si="7"/>
        <v>2955269.5741666579</v>
      </c>
      <c r="L10" s="29">
        <f t="shared" si="7"/>
        <v>2955269.5741666579</v>
      </c>
      <c r="M10" s="29">
        <f t="shared" si="7"/>
        <v>2955269.5741666579</v>
      </c>
      <c r="N10" s="29">
        <f t="shared" si="7"/>
        <v>2955269.5741666579</v>
      </c>
      <c r="O10" s="29">
        <f t="shared" si="7"/>
        <v>2955269.5741666579</v>
      </c>
      <c r="P10" s="10">
        <v>0</v>
      </c>
      <c r="Q10" s="10">
        <v>0</v>
      </c>
      <c r="R10" s="10">
        <v>0</v>
      </c>
      <c r="S10" s="10">
        <v>0</v>
      </c>
      <c r="T10" s="10">
        <v>0</v>
      </c>
      <c r="U10" s="10">
        <v>0</v>
      </c>
      <c r="V10" s="10">
        <v>0</v>
      </c>
      <c r="W10" s="10">
        <v>0</v>
      </c>
      <c r="X10" s="10">
        <v>0</v>
      </c>
      <c r="Y10" s="10">
        <v>0</v>
      </c>
      <c r="Z10" s="10">
        <v>0</v>
      </c>
      <c r="AA10" s="10">
        <v>0</v>
      </c>
    </row>
    <row r="11" spans="1:27" x14ac:dyDescent="0.25">
      <c r="A11" s="26" t="s">
        <v>67</v>
      </c>
      <c r="B11" s="27">
        <v>30830</v>
      </c>
      <c r="C11" s="28">
        <v>31121811.2299999</v>
      </c>
      <c r="D11" s="29">
        <f>$C$11/14</f>
        <v>2222986.5164285642</v>
      </c>
      <c r="E11" s="29">
        <f t="shared" ref="E11:Q11" si="8">$C$11/14</f>
        <v>2222986.5164285642</v>
      </c>
      <c r="F11" s="29">
        <f t="shared" si="8"/>
        <v>2222986.5164285642</v>
      </c>
      <c r="G11" s="29">
        <f t="shared" si="8"/>
        <v>2222986.5164285642</v>
      </c>
      <c r="H11" s="29">
        <f t="shared" si="8"/>
        <v>2222986.5164285642</v>
      </c>
      <c r="I11" s="29">
        <f t="shared" si="8"/>
        <v>2222986.5164285642</v>
      </c>
      <c r="J11" s="29">
        <f t="shared" si="8"/>
        <v>2222986.5164285642</v>
      </c>
      <c r="K11" s="29">
        <f t="shared" si="8"/>
        <v>2222986.5164285642</v>
      </c>
      <c r="L11" s="29">
        <f t="shared" si="8"/>
        <v>2222986.5164285642</v>
      </c>
      <c r="M11" s="29">
        <f t="shared" si="8"/>
        <v>2222986.5164285642</v>
      </c>
      <c r="N11" s="29">
        <f t="shared" si="8"/>
        <v>2222986.5164285642</v>
      </c>
      <c r="O11" s="29">
        <f t="shared" si="8"/>
        <v>2222986.5164285642</v>
      </c>
      <c r="P11" s="29">
        <f t="shared" si="8"/>
        <v>2222986.5164285642</v>
      </c>
      <c r="Q11" s="29">
        <f t="shared" si="8"/>
        <v>2222986.5164285642</v>
      </c>
      <c r="R11" s="10"/>
      <c r="S11" s="10"/>
      <c r="T11" s="10"/>
      <c r="U11" s="10"/>
      <c r="V11" s="10"/>
      <c r="W11" s="10"/>
      <c r="X11" s="10"/>
      <c r="Y11" s="10"/>
      <c r="Z11" s="10"/>
      <c r="AA11" s="10"/>
    </row>
    <row r="12" spans="1:27" x14ac:dyDescent="0.25">
      <c r="A12" s="26" t="s">
        <v>68</v>
      </c>
      <c r="B12" s="27">
        <v>21531</v>
      </c>
      <c r="C12" s="28">
        <v>25056331.859999999</v>
      </c>
      <c r="D12" s="29">
        <f>$C$12/16</f>
        <v>1566020.74125</v>
      </c>
      <c r="E12" s="29">
        <f t="shared" ref="E12:S12" si="9">$C$12/16</f>
        <v>1566020.74125</v>
      </c>
      <c r="F12" s="29">
        <f t="shared" si="9"/>
        <v>1566020.74125</v>
      </c>
      <c r="G12" s="29">
        <f t="shared" si="9"/>
        <v>1566020.74125</v>
      </c>
      <c r="H12" s="29">
        <f t="shared" si="9"/>
        <v>1566020.74125</v>
      </c>
      <c r="I12" s="29">
        <f t="shared" si="9"/>
        <v>1566020.74125</v>
      </c>
      <c r="J12" s="29">
        <f t="shared" si="9"/>
        <v>1566020.74125</v>
      </c>
      <c r="K12" s="29">
        <f t="shared" si="9"/>
        <v>1566020.74125</v>
      </c>
      <c r="L12" s="29">
        <f t="shared" si="9"/>
        <v>1566020.74125</v>
      </c>
      <c r="M12" s="29">
        <f t="shared" si="9"/>
        <v>1566020.74125</v>
      </c>
      <c r="N12" s="29">
        <f t="shared" si="9"/>
        <v>1566020.74125</v>
      </c>
      <c r="O12" s="29">
        <f t="shared" si="9"/>
        <v>1566020.74125</v>
      </c>
      <c r="P12" s="29">
        <f t="shared" si="9"/>
        <v>1566020.74125</v>
      </c>
      <c r="Q12" s="29">
        <f t="shared" si="9"/>
        <v>1566020.74125</v>
      </c>
      <c r="R12" s="29">
        <f t="shared" si="9"/>
        <v>1566020.74125</v>
      </c>
      <c r="S12" s="29">
        <f t="shared" si="9"/>
        <v>1566020.74125</v>
      </c>
      <c r="T12" s="10"/>
      <c r="U12" s="10"/>
      <c r="V12" s="10"/>
      <c r="W12" s="10"/>
      <c r="X12" s="10"/>
      <c r="Y12" s="10"/>
      <c r="Z12" s="10"/>
      <c r="AA12" s="10"/>
    </row>
    <row r="13" spans="1:27" x14ac:dyDescent="0.25">
      <c r="A13" s="26" t="s">
        <v>69</v>
      </c>
      <c r="B13" s="27">
        <v>17827</v>
      </c>
      <c r="C13" s="28">
        <v>23031317.640000001</v>
      </c>
      <c r="D13" s="29">
        <f>$C$13/18</f>
        <v>1279517.6466666667</v>
      </c>
      <c r="E13" s="29">
        <f t="shared" ref="E13:U13" si="10">$C$13/18</f>
        <v>1279517.6466666667</v>
      </c>
      <c r="F13" s="29">
        <f t="shared" si="10"/>
        <v>1279517.6466666667</v>
      </c>
      <c r="G13" s="29">
        <f t="shared" si="10"/>
        <v>1279517.6466666667</v>
      </c>
      <c r="H13" s="29">
        <f t="shared" si="10"/>
        <v>1279517.6466666667</v>
      </c>
      <c r="I13" s="29">
        <f t="shared" si="10"/>
        <v>1279517.6466666667</v>
      </c>
      <c r="J13" s="29">
        <f t="shared" si="10"/>
        <v>1279517.6466666667</v>
      </c>
      <c r="K13" s="29">
        <f t="shared" si="10"/>
        <v>1279517.6466666667</v>
      </c>
      <c r="L13" s="29">
        <f t="shared" si="10"/>
        <v>1279517.6466666667</v>
      </c>
      <c r="M13" s="29">
        <f t="shared" si="10"/>
        <v>1279517.6466666667</v>
      </c>
      <c r="N13" s="29">
        <f t="shared" si="10"/>
        <v>1279517.6466666667</v>
      </c>
      <c r="O13" s="29">
        <f t="shared" si="10"/>
        <v>1279517.6466666667</v>
      </c>
      <c r="P13" s="29">
        <f t="shared" si="10"/>
        <v>1279517.6466666667</v>
      </c>
      <c r="Q13" s="29">
        <f t="shared" si="10"/>
        <v>1279517.6466666667</v>
      </c>
      <c r="R13" s="29">
        <f t="shared" si="10"/>
        <v>1279517.6466666667</v>
      </c>
      <c r="S13" s="29">
        <f t="shared" si="10"/>
        <v>1279517.6466666667</v>
      </c>
      <c r="T13" s="29">
        <f t="shared" si="10"/>
        <v>1279517.6466666667</v>
      </c>
      <c r="U13" s="29">
        <f t="shared" si="10"/>
        <v>1279517.6466666667</v>
      </c>
      <c r="V13" s="10"/>
      <c r="W13" s="10"/>
      <c r="X13" s="10"/>
      <c r="Y13" s="10"/>
      <c r="Z13" s="10"/>
      <c r="AA13" s="10"/>
    </row>
    <row r="14" spans="1:27" x14ac:dyDescent="0.25">
      <c r="A14" s="26" t="s">
        <v>70</v>
      </c>
      <c r="B14" s="27">
        <v>11743</v>
      </c>
      <c r="C14" s="28">
        <v>16416460.199999999</v>
      </c>
      <c r="D14" s="29">
        <f>$C$14/20</f>
        <v>820823.01</v>
      </c>
      <c r="E14" s="29">
        <f t="shared" ref="E14:W14" si="11">$C$14/20</f>
        <v>820823.01</v>
      </c>
      <c r="F14" s="29">
        <f t="shared" si="11"/>
        <v>820823.01</v>
      </c>
      <c r="G14" s="29">
        <f t="shared" si="11"/>
        <v>820823.01</v>
      </c>
      <c r="H14" s="29">
        <f t="shared" si="11"/>
        <v>820823.01</v>
      </c>
      <c r="I14" s="29">
        <f t="shared" si="11"/>
        <v>820823.01</v>
      </c>
      <c r="J14" s="29">
        <f t="shared" si="11"/>
        <v>820823.01</v>
      </c>
      <c r="K14" s="29">
        <f t="shared" si="11"/>
        <v>820823.01</v>
      </c>
      <c r="L14" s="29">
        <f t="shared" si="11"/>
        <v>820823.01</v>
      </c>
      <c r="M14" s="29">
        <f t="shared" si="11"/>
        <v>820823.01</v>
      </c>
      <c r="N14" s="29">
        <f t="shared" si="11"/>
        <v>820823.01</v>
      </c>
      <c r="O14" s="29">
        <f t="shared" si="11"/>
        <v>820823.01</v>
      </c>
      <c r="P14" s="29">
        <f t="shared" si="11"/>
        <v>820823.01</v>
      </c>
      <c r="Q14" s="29">
        <f t="shared" si="11"/>
        <v>820823.01</v>
      </c>
      <c r="R14" s="29">
        <f t="shared" si="11"/>
        <v>820823.01</v>
      </c>
      <c r="S14" s="29">
        <f t="shared" si="11"/>
        <v>820823.01</v>
      </c>
      <c r="T14" s="29">
        <f t="shared" si="11"/>
        <v>820823.01</v>
      </c>
      <c r="U14" s="29">
        <f t="shared" si="11"/>
        <v>820823.01</v>
      </c>
      <c r="V14" s="29">
        <f t="shared" si="11"/>
        <v>820823.01</v>
      </c>
      <c r="W14" s="29">
        <f t="shared" si="11"/>
        <v>820823.01</v>
      </c>
      <c r="X14" s="10"/>
      <c r="Y14" s="10"/>
      <c r="Z14" s="10"/>
      <c r="AA14" s="10"/>
    </row>
    <row r="15" spans="1:27" x14ac:dyDescent="0.25">
      <c r="A15" s="26" t="s">
        <v>71</v>
      </c>
      <c r="B15" s="27">
        <v>16410</v>
      </c>
      <c r="C15" s="28">
        <v>23015563.690000001</v>
      </c>
      <c r="D15" s="29">
        <f>$C$15/22</f>
        <v>1046161.985909091</v>
      </c>
      <c r="E15" s="29">
        <f t="shared" ref="E15:Y15" si="12">$C$15/22</f>
        <v>1046161.985909091</v>
      </c>
      <c r="F15" s="29">
        <f t="shared" si="12"/>
        <v>1046161.985909091</v>
      </c>
      <c r="G15" s="29">
        <f t="shared" si="12"/>
        <v>1046161.985909091</v>
      </c>
      <c r="H15" s="29">
        <f t="shared" si="12"/>
        <v>1046161.985909091</v>
      </c>
      <c r="I15" s="29">
        <f t="shared" si="12"/>
        <v>1046161.985909091</v>
      </c>
      <c r="J15" s="29">
        <f t="shared" si="12"/>
        <v>1046161.985909091</v>
      </c>
      <c r="K15" s="29">
        <f t="shared" si="12"/>
        <v>1046161.985909091</v>
      </c>
      <c r="L15" s="29">
        <f t="shared" si="12"/>
        <v>1046161.985909091</v>
      </c>
      <c r="M15" s="29">
        <f t="shared" si="12"/>
        <v>1046161.985909091</v>
      </c>
      <c r="N15" s="29">
        <f t="shared" si="12"/>
        <v>1046161.985909091</v>
      </c>
      <c r="O15" s="29">
        <f t="shared" si="12"/>
        <v>1046161.985909091</v>
      </c>
      <c r="P15" s="29">
        <f t="shared" si="12"/>
        <v>1046161.985909091</v>
      </c>
      <c r="Q15" s="29">
        <f t="shared" si="12"/>
        <v>1046161.985909091</v>
      </c>
      <c r="R15" s="29">
        <f t="shared" si="12"/>
        <v>1046161.985909091</v>
      </c>
      <c r="S15" s="29">
        <f t="shared" si="12"/>
        <v>1046161.985909091</v>
      </c>
      <c r="T15" s="29">
        <f t="shared" si="12"/>
        <v>1046161.985909091</v>
      </c>
      <c r="U15" s="29">
        <f t="shared" si="12"/>
        <v>1046161.985909091</v>
      </c>
      <c r="V15" s="29">
        <f t="shared" si="12"/>
        <v>1046161.985909091</v>
      </c>
      <c r="W15" s="29">
        <f t="shared" si="12"/>
        <v>1046161.985909091</v>
      </c>
      <c r="X15" s="29">
        <f t="shared" si="12"/>
        <v>1046161.985909091</v>
      </c>
      <c r="Y15" s="29">
        <f t="shared" si="12"/>
        <v>1046161.985909091</v>
      </c>
      <c r="Z15" s="10"/>
      <c r="AA15" s="10"/>
    </row>
    <row r="16" spans="1:27" x14ac:dyDescent="0.25">
      <c r="A16" s="26" t="s">
        <v>72</v>
      </c>
      <c r="B16" s="27">
        <v>68837</v>
      </c>
      <c r="C16" s="28">
        <v>108297672.44999988</v>
      </c>
      <c r="D16" s="29">
        <f>$C$16/24</f>
        <v>4512403.0187499952</v>
      </c>
      <c r="E16" s="29">
        <f t="shared" ref="E16:AA16" si="13">$C$16/24</f>
        <v>4512403.0187499952</v>
      </c>
      <c r="F16" s="29">
        <f t="shared" si="13"/>
        <v>4512403.0187499952</v>
      </c>
      <c r="G16" s="29">
        <f t="shared" si="13"/>
        <v>4512403.0187499952</v>
      </c>
      <c r="H16" s="29">
        <f t="shared" si="13"/>
        <v>4512403.0187499952</v>
      </c>
      <c r="I16" s="29">
        <f t="shared" si="13"/>
        <v>4512403.0187499952</v>
      </c>
      <c r="J16" s="29">
        <f t="shared" si="13"/>
        <v>4512403.0187499952</v>
      </c>
      <c r="K16" s="29">
        <f t="shared" si="13"/>
        <v>4512403.0187499952</v>
      </c>
      <c r="L16" s="29">
        <f t="shared" si="13"/>
        <v>4512403.0187499952</v>
      </c>
      <c r="M16" s="29">
        <f t="shared" si="13"/>
        <v>4512403.0187499952</v>
      </c>
      <c r="N16" s="29">
        <f t="shared" si="13"/>
        <v>4512403.0187499952</v>
      </c>
      <c r="O16" s="29">
        <f t="shared" si="13"/>
        <v>4512403.0187499952</v>
      </c>
      <c r="P16" s="29">
        <f t="shared" si="13"/>
        <v>4512403.0187499952</v>
      </c>
      <c r="Q16" s="29">
        <f t="shared" si="13"/>
        <v>4512403.0187499952</v>
      </c>
      <c r="R16" s="29">
        <f t="shared" si="13"/>
        <v>4512403.0187499952</v>
      </c>
      <c r="S16" s="29">
        <f t="shared" si="13"/>
        <v>4512403.0187499952</v>
      </c>
      <c r="T16" s="29">
        <f t="shared" si="13"/>
        <v>4512403.0187499952</v>
      </c>
      <c r="U16" s="29">
        <f t="shared" si="13"/>
        <v>4512403.0187499952</v>
      </c>
      <c r="V16" s="29">
        <f t="shared" si="13"/>
        <v>4512403.0187499952</v>
      </c>
      <c r="W16" s="29">
        <f t="shared" si="13"/>
        <v>4512403.0187499952</v>
      </c>
      <c r="X16" s="29">
        <f t="shared" si="13"/>
        <v>4512403.0187499952</v>
      </c>
      <c r="Y16" s="29">
        <f t="shared" si="13"/>
        <v>4512403.0187499952</v>
      </c>
      <c r="Z16" s="29">
        <f t="shared" si="13"/>
        <v>4512403.0187499952</v>
      </c>
      <c r="AA16" s="29">
        <f t="shared" si="13"/>
        <v>4512403.0187499952</v>
      </c>
    </row>
    <row r="17" spans="1:27" x14ac:dyDescent="0.25">
      <c r="A17" s="7" t="s">
        <v>73</v>
      </c>
      <c r="B17" s="7"/>
      <c r="C17" s="1"/>
      <c r="D17" s="30">
        <f>D3-D4</f>
        <v>-10781365.745254319</v>
      </c>
      <c r="E17" s="30">
        <f t="shared" ref="E17:AA17" si="14">E3-E4</f>
        <v>-10781365.745254319</v>
      </c>
      <c r="F17" s="30">
        <f t="shared" si="14"/>
        <v>-10781365.745254319</v>
      </c>
      <c r="G17" s="30">
        <f t="shared" si="14"/>
        <v>-10781365.745254319</v>
      </c>
      <c r="H17" s="30">
        <f t="shared" si="14"/>
        <v>-10781365.745254319</v>
      </c>
      <c r="I17" s="30">
        <f t="shared" si="14"/>
        <v>-10781365.745254319</v>
      </c>
      <c r="J17" s="30">
        <f t="shared" si="14"/>
        <v>-10781365.745254319</v>
      </c>
      <c r="K17" s="30">
        <f t="shared" si="14"/>
        <v>-10781365.745254319</v>
      </c>
      <c r="L17" s="30">
        <f t="shared" si="14"/>
        <v>-10781365.745254319</v>
      </c>
      <c r="M17" s="30">
        <f t="shared" si="14"/>
        <v>-10781365.745254319</v>
      </c>
      <c r="N17" s="30">
        <f t="shared" si="14"/>
        <v>-10781365.745254319</v>
      </c>
      <c r="O17" s="30">
        <f t="shared" si="14"/>
        <v>-10781365.745254319</v>
      </c>
      <c r="P17" s="30">
        <f t="shared" si="14"/>
        <v>6797136.3297456726</v>
      </c>
      <c r="Q17" s="30">
        <f t="shared" si="14"/>
        <v>6797136.3297456726</v>
      </c>
      <c r="R17" s="30">
        <f t="shared" si="14"/>
        <v>9020122.8461742364</v>
      </c>
      <c r="S17" s="30">
        <f t="shared" si="14"/>
        <v>9020122.8461742364</v>
      </c>
      <c r="T17" s="30">
        <f t="shared" si="14"/>
        <v>10586143.587424237</v>
      </c>
      <c r="U17" s="30">
        <f t="shared" si="14"/>
        <v>10586143.587424237</v>
      </c>
      <c r="V17" s="30">
        <f t="shared" si="14"/>
        <v>11865661.234090904</v>
      </c>
      <c r="W17" s="30">
        <f t="shared" si="14"/>
        <v>11865661.234090904</v>
      </c>
      <c r="X17" s="30">
        <f t="shared" si="14"/>
        <v>12686484.244090904</v>
      </c>
      <c r="Y17" s="30">
        <f t="shared" si="14"/>
        <v>12686484.244090904</v>
      </c>
      <c r="Z17" s="30">
        <f t="shared" si="14"/>
        <v>13732646.229999995</v>
      </c>
      <c r="AA17" s="30">
        <f t="shared" si="14"/>
        <v>13732646.229999995</v>
      </c>
    </row>
    <row r="18" spans="1:27" x14ac:dyDescent="0.25">
      <c r="A18" s="20"/>
      <c r="B18" s="20"/>
      <c r="C18" s="21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</row>
    <row r="19" spans="1:27" x14ac:dyDescent="0.25">
      <c r="A19" s="49" t="s">
        <v>74</v>
      </c>
      <c r="B19" s="50" t="s">
        <v>75</v>
      </c>
      <c r="C19" s="49" t="s">
        <v>76</v>
      </c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</row>
    <row r="20" spans="1:27" x14ac:dyDescent="0.25">
      <c r="A20" s="7" t="s">
        <v>77</v>
      </c>
      <c r="B20" s="12">
        <f>SUM(B5:B7)</f>
        <v>608703</v>
      </c>
      <c r="C20" s="58">
        <f>B20/B22</f>
        <v>0.65067547199661357</v>
      </c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</row>
    <row r="21" spans="1:27" x14ac:dyDescent="0.25">
      <c r="A21" s="7" t="s">
        <v>78</v>
      </c>
      <c r="B21" s="12">
        <f>SUM(B5:B10)</f>
        <v>768316</v>
      </c>
      <c r="C21" s="58">
        <f>B21/B22</f>
        <v>0.82129441770871858</v>
      </c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</row>
    <row r="22" spans="1:27" x14ac:dyDescent="0.25">
      <c r="A22" s="16" t="s">
        <v>79</v>
      </c>
      <c r="B22" s="12">
        <f>SUM(B5:B16)</f>
        <v>935494</v>
      </c>
      <c r="C22" s="1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</row>
    <row r="24" spans="1:27" x14ac:dyDescent="0.25">
      <c r="A24" s="46" t="s">
        <v>80</v>
      </c>
      <c r="B24" s="51" t="s">
        <v>81</v>
      </c>
      <c r="C24" s="50" t="s">
        <v>82</v>
      </c>
      <c r="D24" s="50" t="s">
        <v>83</v>
      </c>
      <c r="E24" s="52" t="s">
        <v>25</v>
      </c>
    </row>
    <row r="25" spans="1:27" x14ac:dyDescent="0.25">
      <c r="A25" s="3" t="s">
        <v>84</v>
      </c>
      <c r="B25" s="2">
        <f>C3</f>
        <v>437881181.96999979</v>
      </c>
      <c r="C25" s="4">
        <f>B25</f>
        <v>437881181.96999979</v>
      </c>
      <c r="D25" s="4">
        <v>0</v>
      </c>
      <c r="E25" s="1"/>
    </row>
    <row r="26" spans="1:27" x14ac:dyDescent="0.25">
      <c r="A26" s="7" t="s">
        <v>85</v>
      </c>
      <c r="B26" s="2">
        <f>C26+D26</f>
        <v>437881181.96999985</v>
      </c>
      <c r="C26" s="2">
        <f>SUM(D3:O3)</f>
        <v>218940590.98499992</v>
      </c>
      <c r="D26" s="2">
        <f>SUM(P3:AA3)</f>
        <v>218940590.98499992</v>
      </c>
      <c r="E26" s="5" t="s">
        <v>27</v>
      </c>
    </row>
    <row r="27" spans="1:27" x14ac:dyDescent="0.25">
      <c r="A27" s="7" t="s">
        <v>86</v>
      </c>
      <c r="B27" s="2">
        <f>C27+D27</f>
        <v>437881181.96999967</v>
      </c>
      <c r="C27" s="2">
        <f>SUM(D4:O4)</f>
        <v>348316979.92805171</v>
      </c>
      <c r="D27" s="2">
        <f>SUM(P4:AA4)</f>
        <v>89564202.041947991</v>
      </c>
      <c r="E27" s="5" t="s">
        <v>29</v>
      </c>
    </row>
    <row r="28" spans="1:27" x14ac:dyDescent="0.25">
      <c r="A28" s="1" t="s">
        <v>87</v>
      </c>
      <c r="B28" s="2">
        <f>B26-B27</f>
        <v>0</v>
      </c>
      <c r="C28" s="2">
        <f>C27-C26</f>
        <v>129376388.94305179</v>
      </c>
      <c r="D28" s="2">
        <f>D27-D26</f>
        <v>-129376388.94305193</v>
      </c>
      <c r="E28" s="5" t="s">
        <v>88</v>
      </c>
    </row>
    <row r="29" spans="1:27" x14ac:dyDescent="0.25">
      <c r="A29" s="1" t="s">
        <v>89</v>
      </c>
      <c r="B29" s="58">
        <f>B28/B26</f>
        <v>0</v>
      </c>
      <c r="C29" s="58">
        <f>C28/C26</f>
        <v>0.59092006813809883</v>
      </c>
      <c r="D29" s="58">
        <f>D28/D26</f>
        <v>-0.5909200681380995</v>
      </c>
      <c r="E29" s="6" t="s">
        <v>90</v>
      </c>
    </row>
  </sheetData>
  <mergeCells count="1">
    <mergeCell ref="D1:AA1"/>
  </mergeCells>
  <conditionalFormatting sqref="D17:AA17">
    <cfRule type="cellIs" dxfId="1" priority="1" operator="greaterThan">
      <formula>0</formula>
    </cfRule>
    <cfRule type="cellIs" dxfId="0" priority="2" operator="less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SCE Analysis of CPUC Proposal A</vt:lpstr>
      <vt:lpstr>SCE Proposal for AMP Minimum</vt:lpstr>
      <vt:lpstr>CPUC and SCE Proposal B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Eric Lee</dc:creator>
  <cp:keywords/>
  <dc:description/>
  <cp:lastModifiedBy>Elder, Jaime</cp:lastModifiedBy>
  <cp:revision/>
  <dcterms:created xsi:type="dcterms:W3CDTF">2021-03-02T05:46:29Z</dcterms:created>
  <dcterms:modified xsi:type="dcterms:W3CDTF">2021-07-15T22:04:52Z</dcterms:modified>
  <cp:category/>
  <cp:contentStatus/>
</cp:coreProperties>
</file>