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y\Downloads\"/>
    </mc:Choice>
  </mc:AlternateContent>
  <xr:revisionPtr revIDLastSave="0" documentId="8_{61A61D73-1278-4607-B90E-5617EB85D556}" xr6:coauthVersionLast="47" xr6:coauthVersionMax="47" xr10:uidLastSave="{00000000-0000-0000-0000-000000000000}"/>
  <bookViews>
    <workbookView xWindow="720" yWindow="708" windowWidth="21576" windowHeight="11064" xr2:uid="{40B3D802-8BC5-4526-A86B-FC07EE47892A}"/>
  </bookViews>
  <sheets>
    <sheet name="Data" sheetId="1" r:id="rId1"/>
    <sheet name="Metrics (Detailed)" sheetId="4" r:id="rId2"/>
    <sheet name="Metrics (High-Level)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L5" i="2"/>
  <c r="L6" i="2"/>
  <c r="L7" i="2"/>
  <c r="L8" i="2"/>
  <c r="L9" i="2"/>
  <c r="L10" i="2"/>
  <c r="L3" i="2"/>
  <c r="K4" i="2"/>
  <c r="K5" i="2"/>
  <c r="K6" i="2"/>
  <c r="K7" i="2"/>
  <c r="K8" i="2"/>
  <c r="K9" i="2"/>
  <c r="K10" i="2"/>
  <c r="K3" i="2"/>
  <c r="J4" i="2"/>
  <c r="J5" i="2"/>
  <c r="J6" i="2"/>
  <c r="J7" i="2"/>
  <c r="J8" i="2"/>
  <c r="J9" i="2"/>
  <c r="J10" i="2"/>
  <c r="J3" i="2"/>
  <c r="H10" i="2"/>
  <c r="H9" i="2"/>
  <c r="H8" i="2"/>
  <c r="H7" i="2"/>
  <c r="H6" i="2"/>
  <c r="H5" i="2"/>
  <c r="H4" i="2"/>
  <c r="H3" i="2"/>
  <c r="D3" i="4"/>
  <c r="D4" i="4"/>
  <c r="D5" i="4"/>
  <c r="D6" i="4"/>
  <c r="D8" i="4"/>
  <c r="D9" i="4"/>
  <c r="D10" i="4"/>
  <c r="D7" i="4"/>
  <c r="I7" i="4"/>
  <c r="G3" i="4"/>
  <c r="K6" i="4"/>
  <c r="K5" i="4"/>
  <c r="K4" i="4"/>
  <c r="K3" i="4"/>
  <c r="J3" i="4"/>
  <c r="S3" i="4" a="1"/>
  <c r="S3" i="4" s="1"/>
  <c r="R3" i="4" a="1"/>
  <c r="R3" i="4" s="1"/>
  <c r="Q3" i="4" a="1"/>
  <c r="Q3" i="4" s="1"/>
  <c r="S4" i="4" a="1"/>
  <c r="S4" i="4" s="1"/>
  <c r="S5" i="4" a="1"/>
  <c r="S5" i="4" s="1"/>
  <c r="S6" i="4" a="1"/>
  <c r="S6" i="4" s="1"/>
  <c r="S8" i="4" a="1"/>
  <c r="S8" i="4" s="1"/>
  <c r="S9" i="4" a="1"/>
  <c r="S9" i="4" s="1"/>
  <c r="S10" i="4" a="1"/>
  <c r="S10" i="4" s="1"/>
  <c r="S7" i="4" a="1"/>
  <c r="S7" i="4" s="1"/>
  <c r="R4" i="4" a="1"/>
  <c r="R4" i="4" s="1"/>
  <c r="R5" i="4" a="1"/>
  <c r="R5" i="4" s="1"/>
  <c r="R6" i="4" a="1"/>
  <c r="R6" i="4" s="1"/>
  <c r="R8" i="4" a="1"/>
  <c r="R8" i="4" s="1"/>
  <c r="R9" i="4" a="1"/>
  <c r="R9" i="4" s="1"/>
  <c r="R10" i="4" a="1"/>
  <c r="R10" i="4" s="1"/>
  <c r="R7" i="4" a="1"/>
  <c r="R7" i="4" s="1"/>
  <c r="Q4" i="4" a="1"/>
  <c r="Q4" i="4" s="1"/>
  <c r="Q5" i="4" a="1"/>
  <c r="Q5" i="4" s="1"/>
  <c r="Q6" i="4" a="1"/>
  <c r="Q6" i="4" s="1"/>
  <c r="Q8" i="4" a="1"/>
  <c r="Q8" i="4" s="1"/>
  <c r="Q9" i="4" a="1"/>
  <c r="Q9" i="4" s="1"/>
  <c r="Q10" i="4" a="1"/>
  <c r="Q10" i="4" s="1"/>
  <c r="Q7" i="4" a="1"/>
  <c r="Q7" i="4" s="1"/>
  <c r="J6" i="4"/>
  <c r="E7" i="4"/>
  <c r="E3" i="4"/>
  <c r="E4" i="4"/>
  <c r="E5" i="4"/>
  <c r="E6" i="4"/>
  <c r="E8" i="4"/>
  <c r="E9" i="4"/>
  <c r="E10" i="4"/>
  <c r="J5" i="4"/>
  <c r="J4" i="4"/>
  <c r="J9" i="4"/>
  <c r="J10" i="4"/>
  <c r="J7" i="4"/>
  <c r="J8" i="4"/>
  <c r="I4" i="4"/>
  <c r="I5" i="4"/>
  <c r="I6" i="4"/>
  <c r="I8" i="4"/>
  <c r="I9" i="4"/>
  <c r="I10" i="4"/>
  <c r="I3" i="4"/>
  <c r="F3" i="4"/>
  <c r="F4" i="4"/>
  <c r="F5" i="4"/>
  <c r="F6" i="4"/>
  <c r="F8" i="4"/>
  <c r="F9" i="4"/>
  <c r="F10" i="4"/>
  <c r="F7" i="4"/>
  <c r="M7" i="2" s="1"/>
  <c r="N7" i="4"/>
  <c r="O7" i="4"/>
  <c r="P7" i="4"/>
  <c r="L7" i="4"/>
  <c r="G7" i="4"/>
  <c r="H7" i="4"/>
  <c r="K7" i="4"/>
  <c r="C7" i="4"/>
  <c r="B7" i="4"/>
  <c r="I7" i="2"/>
  <c r="N7" i="2"/>
  <c r="O7" i="2"/>
  <c r="F4" i="2"/>
  <c r="F5" i="2"/>
  <c r="F6" i="2"/>
  <c r="F8" i="2"/>
  <c r="F9" i="2"/>
  <c r="F10" i="2"/>
  <c r="F3" i="2"/>
  <c r="G4" i="2"/>
  <c r="G5" i="2"/>
  <c r="G6" i="2"/>
  <c r="G8" i="2"/>
  <c r="G9" i="2"/>
  <c r="G10" i="2"/>
  <c r="G3" i="2"/>
  <c r="O6" i="2"/>
  <c r="I3" i="2"/>
  <c r="I4" i="2"/>
  <c r="I5" i="2"/>
  <c r="I6" i="2"/>
  <c r="I9" i="2"/>
  <c r="I10" i="2"/>
  <c r="I8" i="2"/>
  <c r="C6" i="4"/>
  <c r="C5" i="4"/>
  <c r="C3" i="4"/>
  <c r="C10" i="4"/>
  <c r="C8" i="4"/>
  <c r="C9" i="4"/>
  <c r="C4" i="4"/>
  <c r="B10" i="4"/>
  <c r="B8" i="4"/>
  <c r="B9" i="4"/>
  <c r="B4" i="4"/>
  <c r="B6" i="4"/>
  <c r="B5" i="4"/>
  <c r="B3" i="4"/>
  <c r="O5" i="2" l="1"/>
  <c r="O3" i="2"/>
  <c r="O10" i="2"/>
  <c r="O8" i="2"/>
  <c r="O9" i="2"/>
  <c r="M6" i="2"/>
  <c r="G6" i="4"/>
  <c r="H6" i="4"/>
  <c r="N6" i="2"/>
  <c r="L6" i="4"/>
  <c r="N6" i="4"/>
  <c r="O6" i="4"/>
  <c r="P6" i="4"/>
  <c r="M5" i="2"/>
  <c r="G5" i="4"/>
  <c r="H5" i="4"/>
  <c r="N5" i="2"/>
  <c r="L5" i="4"/>
  <c r="N5" i="4"/>
  <c r="O5" i="4"/>
  <c r="P5" i="4"/>
  <c r="M3" i="2"/>
  <c r="H3" i="4"/>
  <c r="N3" i="2"/>
  <c r="L3" i="4"/>
  <c r="N3" i="4"/>
  <c r="O3" i="4"/>
  <c r="P3" i="4"/>
  <c r="M10" i="2"/>
  <c r="G10" i="4"/>
  <c r="H10" i="4"/>
  <c r="N10" i="2"/>
  <c r="K10" i="4"/>
  <c r="L10" i="4"/>
  <c r="N10" i="4"/>
  <c r="O10" i="4"/>
  <c r="P10" i="4"/>
  <c r="M8" i="2"/>
  <c r="G8" i="4"/>
  <c r="H8" i="4"/>
  <c r="N8" i="2"/>
  <c r="K8" i="4"/>
  <c r="L8" i="4"/>
  <c r="N8" i="4"/>
  <c r="O8" i="4"/>
  <c r="P8" i="4"/>
  <c r="M9" i="2"/>
  <c r="G9" i="4"/>
  <c r="H9" i="4"/>
  <c r="N9" i="2"/>
  <c r="K9" i="4"/>
  <c r="L9" i="4"/>
  <c r="N9" i="4"/>
  <c r="O9" i="4"/>
  <c r="P9" i="4"/>
  <c r="P4" i="4" l="1"/>
  <c r="O4" i="4"/>
  <c r="L4" i="4" l="1"/>
  <c r="N4" i="4"/>
  <c r="G4" i="4"/>
  <c r="H4" i="4"/>
  <c r="M4" i="2"/>
  <c r="N4" i="2"/>
  <c r="O4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<sst xmlns="http://schemas.openxmlformats.org/spreadsheetml/2006/main" count="426" uniqueCount="171">
  <si>
    <t xml:space="preserve">     Project Attributes</t>
  </si>
  <si>
    <t xml:space="preserve">     Dates</t>
  </si>
  <si>
    <t>Project Name</t>
  </si>
  <si>
    <t>Applicant(s)</t>
  </si>
  <si>
    <t>Application No.</t>
  </si>
  <si>
    <t>Filed Under</t>
  </si>
  <si>
    <t>Federal Involvement</t>
  </si>
  <si>
    <t>Permit Type</t>
  </si>
  <si>
    <t>Applicant's Environmental Filing Type</t>
  </si>
  <si>
    <t>CEQA Document Type</t>
  </si>
  <si>
    <t>NEPA Document Type</t>
  </si>
  <si>
    <t>Voltage(s)</t>
  </si>
  <si>
    <t>Miles or Acreage</t>
  </si>
  <si>
    <t>Competively Bid or Non-Competitively Bid</t>
  </si>
  <si>
    <t>CAISO Approval Year</t>
  </si>
  <si>
    <t>Expected In-Service Date</t>
  </si>
  <si>
    <t>CAISO Award Date</t>
  </si>
  <si>
    <t>12-Month Notice Date</t>
  </si>
  <si>
    <t>Date MOU Executed</t>
  </si>
  <si>
    <t>Date Contractor Selected</t>
  </si>
  <si>
    <t>Date Contract Executed</t>
  </si>
  <si>
    <t>Pre-Filing Date</t>
  </si>
  <si>
    <t>File Date</t>
  </si>
  <si>
    <t>Deficiency Letter 1 Date</t>
  </si>
  <si>
    <t>Deficiency Letter 1 Response Date</t>
  </si>
  <si>
    <t>Deficiency Letter 1 Topic(s)</t>
  </si>
  <si>
    <t>Deficiency Letter 2 Date</t>
  </si>
  <si>
    <t>Deficiency Letter 2 Response Date</t>
  </si>
  <si>
    <t>Deficiency Letter 2 Topic(s)</t>
  </si>
  <si>
    <t>Deficiency Letter 3 Date</t>
  </si>
  <si>
    <t>Deficiency Letter 3 Response Date</t>
  </si>
  <si>
    <t>Deficiency Letter 3 Topic(s)</t>
  </si>
  <si>
    <t>Date Deemed Complete</t>
  </si>
  <si>
    <t>Amendment 1 File Date(s)</t>
  </si>
  <si>
    <t>Amendment 2 File Date</t>
  </si>
  <si>
    <t>Amendment 3 File Date</t>
  </si>
  <si>
    <t>Data Request 1 Date</t>
  </si>
  <si>
    <t>Data Request 1 Response Date</t>
  </si>
  <si>
    <t>Data Request 1 Topic(s)</t>
  </si>
  <si>
    <t>Data Request 2 Date</t>
  </si>
  <si>
    <t>Data Request 2 Response Date</t>
  </si>
  <si>
    <t>Data Request 2 Topic(s)</t>
  </si>
  <si>
    <t>Data Request 3 Date</t>
  </si>
  <si>
    <t>Data Request 3 Response Date</t>
  </si>
  <si>
    <t>Data Request 3 Topic(s)</t>
  </si>
  <si>
    <t>Data Request 4 Date</t>
  </si>
  <si>
    <t>Data Request 4 Response Date</t>
  </si>
  <si>
    <t>Data Request 4 Topic(s)</t>
  </si>
  <si>
    <t>Data Request 5 Date</t>
  </si>
  <si>
    <t>Data Request 5 Response Date</t>
  </si>
  <si>
    <t>Data Request 5 Topic(s)</t>
  </si>
  <si>
    <t>Data Request 6 Date</t>
  </si>
  <si>
    <t>Data Request 6 Response Date</t>
  </si>
  <si>
    <t>Data Request 6 Topic(s)</t>
  </si>
  <si>
    <t>Data Request 7 Date</t>
  </si>
  <si>
    <t>Data Request 7 Response Date</t>
  </si>
  <si>
    <t>Data Request 7 Topic(s)</t>
  </si>
  <si>
    <t>Data Request 8 Date</t>
  </si>
  <si>
    <t>Data Request 8 Response Date</t>
  </si>
  <si>
    <t>Data Request 8 Topic(s)</t>
  </si>
  <si>
    <t>Public Draft CEQA Document Date</t>
  </si>
  <si>
    <t>Final CEQA Document Date</t>
  </si>
  <si>
    <t>Prehearing Conference Date</t>
  </si>
  <si>
    <t>Proposed Decision Date</t>
  </si>
  <si>
    <t>Final Decision Date</t>
  </si>
  <si>
    <t>Construction Start Date</t>
  </si>
  <si>
    <t>NEPA - Lead Agency</t>
  </si>
  <si>
    <t>NEPA - Lead Agency File Date</t>
  </si>
  <si>
    <t>NEPA - NOI Date (if EIS)</t>
  </si>
  <si>
    <t>NEPA - Public Draft NEPA Document Date</t>
  </si>
  <si>
    <t>NEPA - NHPA Section 106 Completion Date</t>
  </si>
  <si>
    <t>NEPA - ESA Consultation Completion Date</t>
  </si>
  <si>
    <t>NEPA - FONSI Date (if EA)</t>
  </si>
  <si>
    <t>NEPA - Record of Decision Date (if EIS)</t>
  </si>
  <si>
    <t>Gorman-Kern River TLRR Project</t>
  </si>
  <si>
    <t>Southern California Edison (SCE)</t>
  </si>
  <si>
    <t>A.22-02-014</t>
  </si>
  <si>
    <t>GO 131-D</t>
  </si>
  <si>
    <t>Yes</t>
  </si>
  <si>
    <t>PTC</t>
  </si>
  <si>
    <t>PEA</t>
  </si>
  <si>
    <t>IS/MND</t>
  </si>
  <si>
    <t>N/A</t>
  </si>
  <si>
    <t>66 kV</t>
  </si>
  <si>
    <t>65.3 miles</t>
  </si>
  <si>
    <t>Non-Competitively Bid</t>
  </si>
  <si>
    <t>Q3 2029</t>
  </si>
  <si>
    <t>Details on project description needed, gaps in cultural inventory survey areas &amp; findings</t>
  </si>
  <si>
    <t>Continued comments on cultural analysis</t>
  </si>
  <si>
    <t>Continued comment on response to Deficiency Letter #1</t>
  </si>
  <si>
    <t>Environmental information</t>
  </si>
  <si>
    <t>Environmental information, Environmental analysis methodology</t>
  </si>
  <si>
    <t>Project description information, environmental information</t>
  </si>
  <si>
    <t>Environmental analysis methodology</t>
  </si>
  <si>
    <t>USFS</t>
  </si>
  <si>
    <t>Manning 500/230 kV Substation Project</t>
  </si>
  <si>
    <t>LS Power Grid California (LSPGC)</t>
  </si>
  <si>
    <t>A.24-06-017</t>
  </si>
  <si>
    <t>No</t>
  </si>
  <si>
    <t>CPCN</t>
  </si>
  <si>
    <t>230 kV, 500 kV</t>
  </si>
  <si>
    <t>11.5 miles</t>
  </si>
  <si>
    <t>Competitively Bid</t>
  </si>
  <si>
    <t>Project description information, Environmental information, Environmental analysis methodology</t>
  </si>
  <si>
    <t>Plainfield Substation Upgrade Project</t>
  </si>
  <si>
    <t>Pacific Gas &amp; Electric (PG&amp;E)</t>
  </si>
  <si>
    <t>A.24-06-008</t>
  </si>
  <si>
    <t>60 kV</t>
  </si>
  <si>
    <t>6.1 acres</t>
  </si>
  <si>
    <t>Project description information, Environmental information, Environmental analysis methodology, Data</t>
  </si>
  <si>
    <t>Project description information</t>
  </si>
  <si>
    <t xml:space="preserve">Power the South Bay Project </t>
  </si>
  <si>
    <t>A.24-05-014</t>
  </si>
  <si>
    <t>EIR</t>
  </si>
  <si>
    <t>230 kV</t>
  </si>
  <si>
    <t>12 miles</t>
  </si>
  <si>
    <t>APSA</t>
  </si>
  <si>
    <t>Project description information, Consultation</t>
  </si>
  <si>
    <t>Project description information, environmental information, Consultation</t>
  </si>
  <si>
    <t>Orange Regional Transmission Project</t>
  </si>
  <si>
    <t>TBD</t>
  </si>
  <si>
    <t>GO 131-E</t>
  </si>
  <si>
    <t>Admin Draft</t>
  </si>
  <si>
    <t>EIR (expected)</t>
  </si>
  <si>
    <t>500 kV</t>
  </si>
  <si>
    <t>30 miles</t>
  </si>
  <si>
    <t>Suncrest 230 kV Loop-in Project</t>
  </si>
  <si>
    <t>San Diego Gas &amp; Electric (SDG&amp;E)</t>
  </si>
  <si>
    <t>A.26-05-005</t>
  </si>
  <si>
    <t>16 miles</t>
  </si>
  <si>
    <t>Timepiece 115/33 kV Substation Project</t>
  </si>
  <si>
    <t>IS/MND (expected)</t>
  </si>
  <si>
    <t>115 kV, 33 kV</t>
  </si>
  <si>
    <t>Q2 2030</t>
  </si>
  <si>
    <t>Ironwood Transmission Line Project</t>
  </si>
  <si>
    <t>Horizon West Transmission (HWT)</t>
  </si>
  <si>
    <t>A.25-09-008</t>
  </si>
  <si>
    <t>EIS</t>
  </si>
  <si>
    <t>86 miles</t>
  </si>
  <si>
    <t>BLM</t>
  </si>
  <si>
    <t xml:space="preserve">     Performance Metrics (Detailed)</t>
  </si>
  <si>
    <t>Time from CAISO Award to 12-Month Notice (days)</t>
  </si>
  <si>
    <t>Time from 12-Month Notice to Pre-Filing Date (days)</t>
  </si>
  <si>
    <t>Pre-Filing Time to Date (days)</t>
  </si>
  <si>
    <t>Contract Execution Time (days)</t>
  </si>
  <si>
    <t>Number of Deficiency Letters</t>
  </si>
  <si>
    <t>Deficiency Letter Response Time (Average)</t>
  </si>
  <si>
    <t>Deficiency Letter Response Time (Total) (days)</t>
  </si>
  <si>
    <t>Number of Data Requests</t>
  </si>
  <si>
    <t>Data Request Response Time (Average) (days)</t>
  </si>
  <si>
    <t>Data Request Response Time (Total) (days)</t>
  </si>
  <si>
    <t>Time to Release Public Draft (days)</t>
  </si>
  <si>
    <t>Number of Public Comments</t>
  </si>
  <si>
    <t>Time from Draft CEQA to PHC</t>
  </si>
  <si>
    <t>Time from Final CEQA to Final Decision</t>
  </si>
  <si>
    <t>Time from PHC to Final Decision</t>
  </si>
  <si>
    <t>Time from NEPA Filing to NHPA Completion</t>
  </si>
  <si>
    <t>Time from NEPA Filing to ESA Completion</t>
  </si>
  <si>
    <t>Time from NEPA Filing to FONSI or Record of Decision</t>
  </si>
  <si>
    <t>Plainfield Substation Project</t>
  </si>
  <si>
    <r>
      <t xml:space="preserve">     </t>
    </r>
    <r>
      <rPr>
        <b/>
        <sz val="11"/>
        <color theme="1"/>
        <rFont val="Aptos Narrow"/>
        <family val="2"/>
        <scheme val="minor"/>
      </rPr>
      <t>Performance Metrics (High-Level)</t>
    </r>
  </si>
  <si>
    <t>Clock: Pre-Filing Time to Date</t>
  </si>
  <si>
    <t>Clock: Total Time to Deem Application Complete</t>
  </si>
  <si>
    <t>Clock: Total CEQA Time</t>
  </si>
  <si>
    <t>Clock: Total CPUC Permit Time</t>
  </si>
  <si>
    <t>Clock: Total NEPA Time</t>
  </si>
  <si>
    <t>Number of Amendments</t>
  </si>
  <si>
    <t>Status</t>
  </si>
  <si>
    <t>Approved</t>
  </si>
  <si>
    <t>Pending</t>
  </si>
  <si>
    <t>Draft Document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</si>
</sst>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A4418-4E93-4746-A43C-0667DEC94F05}">
  <dimension ref="A1:BT13"/>
  <sheetViews>
    <sheetView tabSelected="1" zoomScale="99" workbookViewId="0">
      <pane xSplit="1" topLeftCell="B1" activePane="topRight" state="frozen"/>
      <selection pane="topRight" activeCell="B14" sqref="B14"/>
    </sheetView>
  </sheetViews>
  <sheetFormatPr defaultColWidth="19" defaultRowHeight="15" customHeight="1" x14ac:dyDescent="0.3"/>
  <cols>
    <col min="1" max="1" width="35.5546875" customWidth="1"/>
    <col min="2" max="2" width="31.5546875" customWidth="1"/>
    <col min="3" max="4" width="20.33203125" customWidth="1"/>
    <col min="5" max="5" width="12.6640625" customWidth="1"/>
    <col min="6" max="7" width="11.33203125" customWidth="1"/>
    <col min="8" max="8" width="15.33203125" customWidth="1"/>
    <col min="9" max="9" width="14.6640625" customWidth="1"/>
    <col min="10" max="10" width="13.6640625" customWidth="1"/>
    <col min="11" max="11" width="13.109375" customWidth="1"/>
    <col min="12" max="12" width="20.44140625" customWidth="1"/>
    <col min="13" max="13" width="14.33203125" customWidth="1"/>
    <col min="14" max="14" width="12" style="8" customWidth="1"/>
    <col min="15" max="15" width="12.109375" style="8" customWidth="1"/>
    <col min="16" max="19" width="11.33203125" style="8" customWidth="1"/>
    <col min="20" max="20" width="10.109375" style="8" customWidth="1"/>
    <col min="21" max="21" width="10.88671875" style="8" customWidth="1"/>
    <col min="22" max="22" width="16.33203125" style="8" customWidth="1"/>
    <col min="23" max="30" width="18" style="8" customWidth="1"/>
    <col min="31" max="31" width="13.88671875" style="8" customWidth="1"/>
    <col min="32" max="34" width="14.33203125" style="8" customWidth="1"/>
    <col min="35" max="35" width="15.33203125" style="8" customWidth="1"/>
    <col min="36" max="48" width="19" style="8"/>
    <col min="49" max="49" width="21.5546875" style="8" customWidth="1"/>
    <col min="50" max="58" width="19" style="8"/>
    <col min="59" max="59" width="16.5546875" style="8" customWidth="1"/>
    <col min="60" max="60" width="14.109375" style="8" customWidth="1"/>
    <col min="61" max="61" width="14.6640625" style="8" customWidth="1"/>
    <col min="62" max="62" width="13.6640625" style="8" customWidth="1"/>
    <col min="63" max="65" width="12.33203125" style="8" customWidth="1"/>
    <col min="66" max="66" width="14.6640625" style="8" customWidth="1"/>
    <col min="67" max="67" width="14.33203125" style="8" customWidth="1"/>
    <col min="68" max="69" width="19" style="8"/>
    <col min="70" max="70" width="21.109375" style="8" customWidth="1"/>
    <col min="71" max="71" width="12.6640625" style="8" customWidth="1"/>
    <col min="72" max="72" width="17.88671875" style="8" customWidth="1"/>
    <col min="73" max="16384" width="19" style="8"/>
  </cols>
  <sheetData>
    <row r="1" spans="1:72" customFormat="1" ht="26.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  <c r="O1" s="22" t="s">
        <v>1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4"/>
    </row>
    <row r="2" spans="1:72" s="1" customFormat="1" ht="57.6" x14ac:dyDescent="0.3">
      <c r="A2" s="2" t="s">
        <v>2</v>
      </c>
      <c r="B2" s="3" t="s">
        <v>3</v>
      </c>
      <c r="C2" s="6" t="s">
        <v>4</v>
      </c>
      <c r="D2" s="6" t="s">
        <v>5</v>
      </c>
      <c r="E2" s="3" t="s">
        <v>6</v>
      </c>
      <c r="F2" s="3" t="s">
        <v>7</v>
      </c>
      <c r="G2" s="7" t="s">
        <v>8</v>
      </c>
      <c r="H2" s="7" t="s">
        <v>9</v>
      </c>
      <c r="I2" s="3" t="s">
        <v>10</v>
      </c>
      <c r="J2" s="3" t="s">
        <v>11</v>
      </c>
      <c r="K2" s="3" t="s">
        <v>12</v>
      </c>
      <c r="L2" s="6" t="s">
        <v>13</v>
      </c>
      <c r="M2" s="6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7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57</v>
      </c>
      <c r="BE2" s="3" t="s">
        <v>58</v>
      </c>
      <c r="BF2" s="3" t="s">
        <v>59</v>
      </c>
      <c r="BG2" s="3" t="s">
        <v>60</v>
      </c>
      <c r="BH2" s="3" t="s">
        <v>61</v>
      </c>
      <c r="BI2" s="3" t="s">
        <v>62</v>
      </c>
      <c r="BJ2" s="3" t="s">
        <v>63</v>
      </c>
      <c r="BK2" s="3" t="s">
        <v>64</v>
      </c>
      <c r="BL2" s="3" t="s">
        <v>65</v>
      </c>
      <c r="BM2" s="3" t="s">
        <v>66</v>
      </c>
      <c r="BN2" s="3" t="s">
        <v>67</v>
      </c>
      <c r="BO2" s="7" t="s">
        <v>68</v>
      </c>
      <c r="BP2" s="3" t="s">
        <v>69</v>
      </c>
      <c r="BQ2" s="3" t="s">
        <v>70</v>
      </c>
      <c r="BR2" s="3" t="s">
        <v>71</v>
      </c>
      <c r="BS2" s="6" t="s">
        <v>72</v>
      </c>
      <c r="BT2" s="4" t="s">
        <v>73</v>
      </c>
    </row>
    <row r="3" spans="1:72" ht="15" customHeight="1" x14ac:dyDescent="0.3">
      <c r="A3" t="s">
        <v>74</v>
      </c>
      <c r="B3" s="21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s="8" t="s">
        <v>82</v>
      </c>
      <c r="N3" s="8" t="s">
        <v>86</v>
      </c>
      <c r="O3" s="8" t="s">
        <v>82</v>
      </c>
      <c r="P3" s="12">
        <v>42859</v>
      </c>
      <c r="Q3" s="12">
        <v>44010</v>
      </c>
      <c r="R3" s="12">
        <v>43752</v>
      </c>
      <c r="S3" s="12">
        <v>43805</v>
      </c>
      <c r="T3" s="12">
        <v>44393</v>
      </c>
      <c r="U3" s="12">
        <v>44620</v>
      </c>
      <c r="V3" s="12">
        <v>44649</v>
      </c>
      <c r="W3" s="12">
        <v>44824</v>
      </c>
      <c r="X3" s="13" t="s">
        <v>87</v>
      </c>
      <c r="Y3" s="12">
        <v>44680</v>
      </c>
      <c r="Z3" s="12">
        <v>44775</v>
      </c>
      <c r="AA3" s="13" t="s">
        <v>88</v>
      </c>
      <c r="AB3" s="12">
        <v>44865</v>
      </c>
      <c r="AC3" s="12">
        <v>44896</v>
      </c>
      <c r="AD3" s="13" t="s">
        <v>89</v>
      </c>
      <c r="AE3" s="12">
        <v>45189</v>
      </c>
      <c r="AI3" s="12">
        <v>44970</v>
      </c>
      <c r="AJ3" s="12">
        <v>45007</v>
      </c>
      <c r="AK3" t="s">
        <v>90</v>
      </c>
      <c r="AL3" s="12">
        <v>45026</v>
      </c>
      <c r="AM3" s="12">
        <v>45126</v>
      </c>
      <c r="AN3" t="s">
        <v>91</v>
      </c>
      <c r="AO3" s="12">
        <v>45085</v>
      </c>
      <c r="AP3" s="12">
        <v>45099</v>
      </c>
      <c r="AQ3" s="13" t="s">
        <v>92</v>
      </c>
      <c r="AR3" s="12">
        <v>45112</v>
      </c>
      <c r="AS3" s="12">
        <v>45147</v>
      </c>
      <c r="AT3" s="13" t="s">
        <v>93</v>
      </c>
      <c r="AU3" s="12">
        <v>45184</v>
      </c>
      <c r="AV3" s="12">
        <v>45397</v>
      </c>
      <c r="AW3" s="13" t="s">
        <v>90</v>
      </c>
      <c r="AX3" s="12">
        <v>45281</v>
      </c>
      <c r="AY3" s="12">
        <v>45310</v>
      </c>
      <c r="AZ3" s="13" t="s">
        <v>92</v>
      </c>
      <c r="BA3" s="12" t="s">
        <v>82</v>
      </c>
      <c r="BB3" s="12" t="s">
        <v>82</v>
      </c>
      <c r="BC3" s="12" t="s">
        <v>82</v>
      </c>
      <c r="BD3" s="12" t="s">
        <v>82</v>
      </c>
      <c r="BE3" s="12" t="s">
        <v>82</v>
      </c>
      <c r="BF3" s="12" t="s">
        <v>82</v>
      </c>
      <c r="BG3" s="12">
        <v>45618</v>
      </c>
      <c r="BH3" s="12">
        <v>45743</v>
      </c>
      <c r="BI3" s="12">
        <v>45797</v>
      </c>
      <c r="BJ3" s="12">
        <v>45919</v>
      </c>
      <c r="BK3" s="12">
        <v>45960</v>
      </c>
      <c r="BL3" s="12"/>
      <c r="BM3" s="12" t="s">
        <v>94</v>
      </c>
      <c r="BN3" s="8" t="s">
        <v>82</v>
      </c>
      <c r="BO3" s="8" t="s">
        <v>82</v>
      </c>
      <c r="BP3" s="8" t="s">
        <v>82</v>
      </c>
      <c r="BQ3" s="8" t="s">
        <v>82</v>
      </c>
      <c r="BR3" s="8" t="s">
        <v>82</v>
      </c>
      <c r="BS3" s="8" t="s">
        <v>82</v>
      </c>
      <c r="BT3" s="8" t="s">
        <v>82</v>
      </c>
    </row>
    <row r="4" spans="1:72" ht="14.4" x14ac:dyDescent="0.3">
      <c r="A4" t="s">
        <v>95</v>
      </c>
      <c r="B4" s="21" t="s">
        <v>96</v>
      </c>
      <c r="C4" t="s">
        <v>97</v>
      </c>
      <c r="D4" t="s">
        <v>77</v>
      </c>
      <c r="E4" t="s">
        <v>98</v>
      </c>
      <c r="F4" t="s">
        <v>99</v>
      </c>
      <c r="G4" t="s">
        <v>80</v>
      </c>
      <c r="H4" t="s">
        <v>81</v>
      </c>
      <c r="I4" t="s">
        <v>82</v>
      </c>
      <c r="J4" t="s">
        <v>100</v>
      </c>
      <c r="K4" t="s">
        <v>101</v>
      </c>
      <c r="L4" t="s">
        <v>102</v>
      </c>
      <c r="M4" s="8">
        <v>2022</v>
      </c>
      <c r="N4" s="12">
        <v>46905</v>
      </c>
      <c r="O4" s="5">
        <v>44949</v>
      </c>
      <c r="P4" s="12">
        <v>44971</v>
      </c>
      <c r="Q4" s="12">
        <v>45061</v>
      </c>
      <c r="R4" s="12">
        <v>45012</v>
      </c>
      <c r="S4" s="12">
        <v>45104</v>
      </c>
      <c r="T4" s="12">
        <v>45322</v>
      </c>
      <c r="U4" s="12">
        <v>45471</v>
      </c>
      <c r="V4" s="12" t="s">
        <v>82</v>
      </c>
      <c r="W4" s="12" t="s">
        <v>82</v>
      </c>
      <c r="X4" s="12" t="s">
        <v>82</v>
      </c>
      <c r="Y4" s="12" t="s">
        <v>82</v>
      </c>
      <c r="Z4" s="12" t="s">
        <v>82</v>
      </c>
      <c r="AA4" s="12" t="s">
        <v>82</v>
      </c>
      <c r="AB4" s="12" t="s">
        <v>82</v>
      </c>
      <c r="AC4" s="12" t="s">
        <v>82</v>
      </c>
      <c r="AD4" s="12" t="s">
        <v>82</v>
      </c>
      <c r="AE4" s="12">
        <v>45497</v>
      </c>
      <c r="AF4" s="12" t="s">
        <v>82</v>
      </c>
      <c r="AG4" s="12" t="s">
        <v>82</v>
      </c>
      <c r="AH4" s="12" t="s">
        <v>82</v>
      </c>
      <c r="AI4" s="12">
        <v>45497</v>
      </c>
      <c r="AJ4" s="12">
        <v>45555</v>
      </c>
      <c r="AK4" t="s">
        <v>103</v>
      </c>
      <c r="AL4" s="12">
        <v>45715</v>
      </c>
      <c r="AM4" s="12">
        <v>45719</v>
      </c>
      <c r="AN4" s="13" t="s">
        <v>90</v>
      </c>
      <c r="AO4" s="12">
        <v>45794</v>
      </c>
      <c r="AP4" s="12">
        <v>45800</v>
      </c>
      <c r="AQ4" s="13" t="s">
        <v>90</v>
      </c>
      <c r="AR4" s="12">
        <v>45807</v>
      </c>
      <c r="AS4" s="12">
        <v>45813</v>
      </c>
      <c r="AT4" s="13" t="s">
        <v>90</v>
      </c>
      <c r="AU4" s="12" t="s">
        <v>82</v>
      </c>
      <c r="AV4" s="12" t="s">
        <v>82</v>
      </c>
      <c r="AW4" s="12" t="s">
        <v>82</v>
      </c>
      <c r="AX4" s="12" t="s">
        <v>82</v>
      </c>
      <c r="AY4" s="12" t="s">
        <v>82</v>
      </c>
      <c r="AZ4" s="12" t="s">
        <v>82</v>
      </c>
      <c r="BA4" s="12" t="s">
        <v>82</v>
      </c>
      <c r="BB4" s="12" t="s">
        <v>82</v>
      </c>
      <c r="BC4" s="12" t="s">
        <v>82</v>
      </c>
      <c r="BD4" s="12" t="s">
        <v>82</v>
      </c>
      <c r="BE4" s="12" t="s">
        <v>82</v>
      </c>
      <c r="BF4" s="12" t="s">
        <v>82</v>
      </c>
      <c r="BG4" s="12">
        <v>45735</v>
      </c>
      <c r="BH4" s="12">
        <v>45829</v>
      </c>
      <c r="BI4" s="12">
        <v>45791</v>
      </c>
      <c r="BJ4" s="12">
        <v>45908</v>
      </c>
      <c r="BK4" s="12">
        <v>45918</v>
      </c>
      <c r="BL4" s="12">
        <v>46073</v>
      </c>
      <c r="BM4" s="8" t="s">
        <v>82</v>
      </c>
      <c r="BN4" s="8" t="s">
        <v>82</v>
      </c>
      <c r="BO4" s="8" t="s">
        <v>82</v>
      </c>
      <c r="BP4" s="8" t="s">
        <v>82</v>
      </c>
      <c r="BQ4" s="8" t="s">
        <v>82</v>
      </c>
      <c r="BR4" s="8" t="s">
        <v>82</v>
      </c>
      <c r="BS4" s="8" t="s">
        <v>82</v>
      </c>
      <c r="BT4" s="8" t="s">
        <v>82</v>
      </c>
    </row>
    <row r="5" spans="1:72" ht="14.4" x14ac:dyDescent="0.3">
      <c r="A5" t="s">
        <v>104</v>
      </c>
      <c r="B5" s="21" t="s">
        <v>105</v>
      </c>
      <c r="C5" t="s">
        <v>106</v>
      </c>
      <c r="D5" t="s">
        <v>77</v>
      </c>
      <c r="E5" t="s">
        <v>98</v>
      </c>
      <c r="F5" t="s">
        <v>79</v>
      </c>
      <c r="G5" t="s">
        <v>80</v>
      </c>
      <c r="H5" t="s">
        <v>81</v>
      </c>
      <c r="I5" t="s">
        <v>82</v>
      </c>
      <c r="J5" t="s">
        <v>107</v>
      </c>
      <c r="K5" t="s">
        <v>108</v>
      </c>
      <c r="L5" t="s">
        <v>85</v>
      </c>
      <c r="M5" s="8">
        <v>2011</v>
      </c>
      <c r="N5" s="12">
        <v>46569</v>
      </c>
      <c r="O5" s="5">
        <v>40674</v>
      </c>
      <c r="P5" s="12">
        <v>44960</v>
      </c>
      <c r="Q5" s="12">
        <v>45023</v>
      </c>
      <c r="R5" s="12">
        <v>44962</v>
      </c>
      <c r="S5" s="12">
        <v>45089</v>
      </c>
      <c r="T5" s="12">
        <v>45261</v>
      </c>
      <c r="U5" s="12">
        <v>45461</v>
      </c>
      <c r="V5" s="12" t="s">
        <v>82</v>
      </c>
      <c r="W5" s="12" t="s">
        <v>82</v>
      </c>
      <c r="X5" s="12" t="s">
        <v>82</v>
      </c>
      <c r="Y5" s="12" t="s">
        <v>82</v>
      </c>
      <c r="Z5" s="12" t="s">
        <v>82</v>
      </c>
      <c r="AA5" s="12" t="s">
        <v>82</v>
      </c>
      <c r="AB5" s="12" t="s">
        <v>82</v>
      </c>
      <c r="AC5" s="12" t="s">
        <v>82</v>
      </c>
      <c r="AD5" s="12" t="s">
        <v>82</v>
      </c>
      <c r="AE5" s="12">
        <v>45490</v>
      </c>
      <c r="AF5" s="12" t="s">
        <v>82</v>
      </c>
      <c r="AG5" s="12" t="s">
        <v>82</v>
      </c>
      <c r="AH5" s="12" t="s">
        <v>82</v>
      </c>
      <c r="AI5" s="12">
        <v>45490</v>
      </c>
      <c r="AJ5" s="12">
        <v>45506</v>
      </c>
      <c r="AK5" t="s">
        <v>109</v>
      </c>
      <c r="AL5" s="12">
        <v>45630</v>
      </c>
      <c r="AM5" s="12">
        <v>45638</v>
      </c>
      <c r="AN5" s="13" t="s">
        <v>110</v>
      </c>
      <c r="AO5" s="12" t="s">
        <v>82</v>
      </c>
      <c r="AP5" s="12" t="s">
        <v>82</v>
      </c>
      <c r="AQ5" s="12" t="s">
        <v>82</v>
      </c>
      <c r="AR5" s="12" t="s">
        <v>82</v>
      </c>
      <c r="AS5" s="12" t="s">
        <v>82</v>
      </c>
      <c r="AT5" s="12" t="s">
        <v>82</v>
      </c>
      <c r="AU5" s="12" t="s">
        <v>82</v>
      </c>
      <c r="AV5" s="12" t="s">
        <v>82</v>
      </c>
      <c r="AW5" s="12" t="s">
        <v>82</v>
      </c>
      <c r="AX5" s="12" t="s">
        <v>82</v>
      </c>
      <c r="AY5" s="12" t="s">
        <v>82</v>
      </c>
      <c r="AZ5" s="12" t="s">
        <v>82</v>
      </c>
      <c r="BA5" s="12" t="s">
        <v>82</v>
      </c>
      <c r="BB5" s="12" t="s">
        <v>82</v>
      </c>
      <c r="BC5" s="12" t="s">
        <v>82</v>
      </c>
      <c r="BD5" s="12" t="s">
        <v>82</v>
      </c>
      <c r="BE5" s="12" t="s">
        <v>82</v>
      </c>
      <c r="BF5" s="12" t="s">
        <v>82</v>
      </c>
      <c r="BG5" s="12">
        <v>45756</v>
      </c>
      <c r="BH5" s="12">
        <v>45846</v>
      </c>
      <c r="BI5" s="12">
        <v>45820</v>
      </c>
      <c r="BJ5" s="12">
        <v>45971</v>
      </c>
      <c r="BK5" s="12">
        <v>45981</v>
      </c>
      <c r="BM5" s="8" t="s">
        <v>82</v>
      </c>
      <c r="BN5" s="8" t="s">
        <v>82</v>
      </c>
      <c r="BO5" s="8" t="s">
        <v>82</v>
      </c>
      <c r="BP5" s="8" t="s">
        <v>82</v>
      </c>
      <c r="BQ5" s="8" t="s">
        <v>82</v>
      </c>
      <c r="BR5" s="8" t="s">
        <v>82</v>
      </c>
      <c r="BS5" s="8" t="s">
        <v>82</v>
      </c>
      <c r="BT5" s="8" t="s">
        <v>82</v>
      </c>
    </row>
    <row r="6" spans="1:72" ht="14.4" x14ac:dyDescent="0.3">
      <c r="A6" t="s">
        <v>111</v>
      </c>
      <c r="B6" s="21" t="s">
        <v>96</v>
      </c>
      <c r="C6" t="s">
        <v>112</v>
      </c>
      <c r="D6" t="s">
        <v>77</v>
      </c>
      <c r="E6" t="s">
        <v>98</v>
      </c>
      <c r="F6" t="s">
        <v>99</v>
      </c>
      <c r="G6" t="s">
        <v>80</v>
      </c>
      <c r="H6" t="s">
        <v>113</v>
      </c>
      <c r="I6" t="s">
        <v>82</v>
      </c>
      <c r="J6" t="s">
        <v>114</v>
      </c>
      <c r="K6" t="s">
        <v>115</v>
      </c>
      <c r="L6" t="s">
        <v>102</v>
      </c>
      <c r="M6" s="8">
        <v>2022</v>
      </c>
      <c r="N6" s="12">
        <v>46905</v>
      </c>
      <c r="O6" s="5">
        <v>45012</v>
      </c>
      <c r="P6" s="12">
        <v>45013</v>
      </c>
      <c r="Q6" s="12">
        <v>45183</v>
      </c>
      <c r="R6" s="12">
        <v>45072</v>
      </c>
      <c r="S6" s="12">
        <v>45187</v>
      </c>
      <c r="T6" s="12">
        <v>45343</v>
      </c>
      <c r="U6" s="12">
        <v>45429</v>
      </c>
      <c r="V6" s="12" t="s">
        <v>82</v>
      </c>
      <c r="W6" s="12" t="s">
        <v>82</v>
      </c>
      <c r="X6" s="12" t="s">
        <v>82</v>
      </c>
      <c r="Y6" s="12" t="s">
        <v>82</v>
      </c>
      <c r="Z6" s="12" t="s">
        <v>82</v>
      </c>
      <c r="AA6" s="12" t="s">
        <v>82</v>
      </c>
      <c r="AB6" s="12" t="s">
        <v>82</v>
      </c>
      <c r="AC6" s="12" t="s">
        <v>82</v>
      </c>
      <c r="AD6" s="12" t="s">
        <v>82</v>
      </c>
      <c r="AE6" s="12">
        <v>45456</v>
      </c>
      <c r="AF6" s="12">
        <v>45716</v>
      </c>
      <c r="AG6" s="12" t="s">
        <v>82</v>
      </c>
      <c r="AH6" s="12" t="s">
        <v>82</v>
      </c>
      <c r="AI6" s="12">
        <v>45456</v>
      </c>
      <c r="AJ6" s="12">
        <v>45483</v>
      </c>
      <c r="AK6" t="s">
        <v>109</v>
      </c>
      <c r="AL6" s="12">
        <v>45638</v>
      </c>
      <c r="AM6" s="12">
        <v>45646</v>
      </c>
      <c r="AN6" s="13" t="s">
        <v>92</v>
      </c>
      <c r="AO6" s="12">
        <v>45658</v>
      </c>
      <c r="AP6" s="12">
        <v>45672</v>
      </c>
      <c r="AQ6" s="13" t="s">
        <v>92</v>
      </c>
      <c r="AR6" s="12">
        <v>45742</v>
      </c>
      <c r="AS6" s="12">
        <v>45768</v>
      </c>
      <c r="AT6" s="14" t="s">
        <v>116</v>
      </c>
      <c r="AU6" s="12">
        <v>45779</v>
      </c>
      <c r="AV6" s="12">
        <v>45800</v>
      </c>
      <c r="AW6" s="14" t="s">
        <v>90</v>
      </c>
      <c r="AX6" s="12">
        <v>45869</v>
      </c>
      <c r="AY6" s="12">
        <v>45888</v>
      </c>
      <c r="AZ6" s="14" t="s">
        <v>110</v>
      </c>
      <c r="BA6" s="12">
        <v>45897</v>
      </c>
      <c r="BB6" s="12">
        <v>45918</v>
      </c>
      <c r="BC6" s="14" t="s">
        <v>117</v>
      </c>
      <c r="BD6" s="12">
        <v>45940</v>
      </c>
      <c r="BE6" s="12">
        <v>45943</v>
      </c>
      <c r="BF6" s="14" t="s">
        <v>118</v>
      </c>
      <c r="BG6" s="12">
        <v>45817</v>
      </c>
      <c r="BH6" s="12">
        <v>46003</v>
      </c>
      <c r="BI6" s="12">
        <v>46013</v>
      </c>
      <c r="BJ6" s="12">
        <v>45725</v>
      </c>
      <c r="BK6" s="12">
        <v>46100</v>
      </c>
      <c r="BL6" s="12">
        <v>46111</v>
      </c>
      <c r="BM6" s="8" t="s">
        <v>82</v>
      </c>
      <c r="BN6" s="8" t="s">
        <v>82</v>
      </c>
      <c r="BO6" s="8" t="s">
        <v>82</v>
      </c>
      <c r="BP6" s="8" t="s">
        <v>82</v>
      </c>
      <c r="BQ6" s="8" t="s">
        <v>82</v>
      </c>
      <c r="BR6" s="8" t="s">
        <v>82</v>
      </c>
      <c r="BS6" s="8" t="s">
        <v>82</v>
      </c>
      <c r="BT6" s="8" t="s">
        <v>82</v>
      </c>
    </row>
    <row r="7" spans="1:72" ht="15" customHeight="1" x14ac:dyDescent="0.3">
      <c r="A7" t="s">
        <v>134</v>
      </c>
      <c r="B7" s="21" t="s">
        <v>135</v>
      </c>
      <c r="C7" t="s">
        <v>136</v>
      </c>
      <c r="D7" t="s">
        <v>121</v>
      </c>
      <c r="E7" t="s">
        <v>78</v>
      </c>
      <c r="F7" t="s">
        <v>99</v>
      </c>
      <c r="G7" t="s">
        <v>80</v>
      </c>
      <c r="H7" t="s">
        <v>113</v>
      </c>
      <c r="I7" t="s">
        <v>137</v>
      </c>
      <c r="J7" t="s">
        <v>124</v>
      </c>
      <c r="K7" t="s">
        <v>138</v>
      </c>
      <c r="L7" t="s">
        <v>102</v>
      </c>
      <c r="M7">
        <v>2023</v>
      </c>
      <c r="N7" s="12">
        <v>48366</v>
      </c>
      <c r="O7" s="12">
        <v>45393</v>
      </c>
      <c r="P7" s="12">
        <v>45502</v>
      </c>
      <c r="Q7" s="12">
        <v>45671</v>
      </c>
      <c r="R7" s="12">
        <v>45541</v>
      </c>
      <c r="S7" s="12">
        <v>45660</v>
      </c>
      <c r="T7" s="12">
        <v>45702</v>
      </c>
      <c r="U7" s="12">
        <v>45922</v>
      </c>
      <c r="V7" s="12">
        <v>45952</v>
      </c>
      <c r="W7" s="12">
        <v>46043</v>
      </c>
      <c r="X7" s="13" t="s">
        <v>109</v>
      </c>
      <c r="Y7" s="12"/>
      <c r="AE7" s="12">
        <v>46091</v>
      </c>
      <c r="AQ7" s="13"/>
      <c r="AT7" s="13"/>
      <c r="AW7" s="13"/>
      <c r="AZ7" s="13"/>
      <c r="BC7" s="13"/>
      <c r="BF7" s="13"/>
      <c r="BM7" s="8" t="s">
        <v>139</v>
      </c>
      <c r="BN7" s="12">
        <v>45730</v>
      </c>
      <c r="BS7" s="8" t="s">
        <v>82</v>
      </c>
    </row>
    <row r="8" spans="1:72" ht="15" customHeight="1" x14ac:dyDescent="0.3">
      <c r="A8" t="s">
        <v>119</v>
      </c>
      <c r="B8" s="21" t="s">
        <v>75</v>
      </c>
      <c r="C8" t="s">
        <v>120</v>
      </c>
      <c r="D8" t="s">
        <v>121</v>
      </c>
      <c r="E8" t="s">
        <v>98</v>
      </c>
      <c r="F8" t="s">
        <v>99</v>
      </c>
      <c r="G8" t="s">
        <v>122</v>
      </c>
      <c r="H8" t="s">
        <v>123</v>
      </c>
      <c r="I8" t="s">
        <v>82</v>
      </c>
      <c r="J8" t="s">
        <v>124</v>
      </c>
      <c r="K8" t="s">
        <v>125</v>
      </c>
      <c r="L8" t="s">
        <v>102</v>
      </c>
      <c r="M8" s="8">
        <v>2023</v>
      </c>
      <c r="N8" s="12">
        <v>49096</v>
      </c>
      <c r="O8" s="5">
        <v>45443</v>
      </c>
      <c r="P8" s="12">
        <v>45825</v>
      </c>
      <c r="Q8" s="12">
        <v>45982</v>
      </c>
      <c r="R8" s="12">
        <v>45825</v>
      </c>
      <c r="S8" s="12">
        <v>45968</v>
      </c>
      <c r="T8" s="12">
        <v>46154</v>
      </c>
      <c r="U8" s="12"/>
      <c r="V8" s="8" t="s">
        <v>82</v>
      </c>
      <c r="AK8"/>
      <c r="AN8" s="13"/>
      <c r="AQ8" s="13"/>
      <c r="AT8" s="13"/>
      <c r="AW8" s="13"/>
      <c r="AZ8" s="13"/>
      <c r="BC8" s="13"/>
      <c r="BF8" s="13"/>
      <c r="BM8" s="8" t="s">
        <v>82</v>
      </c>
      <c r="BN8" s="8" t="s">
        <v>82</v>
      </c>
      <c r="BO8" s="8" t="s">
        <v>82</v>
      </c>
      <c r="BP8" s="8" t="s">
        <v>82</v>
      </c>
      <c r="BQ8" s="8" t="s">
        <v>82</v>
      </c>
      <c r="BR8" s="8" t="s">
        <v>82</v>
      </c>
      <c r="BS8" s="8" t="s">
        <v>82</v>
      </c>
      <c r="BT8" s="8" t="s">
        <v>82</v>
      </c>
    </row>
    <row r="9" spans="1:72" s="13" customFormat="1" ht="15" customHeight="1" x14ac:dyDescent="0.3">
      <c r="A9" s="13" t="s">
        <v>126</v>
      </c>
      <c r="B9" s="21" t="s">
        <v>127</v>
      </c>
      <c r="C9" s="13" t="s">
        <v>128</v>
      </c>
      <c r="D9" t="s">
        <v>121</v>
      </c>
      <c r="E9" s="13" t="s">
        <v>78</v>
      </c>
      <c r="F9" s="13" t="s">
        <v>79</v>
      </c>
      <c r="G9" t="s">
        <v>122</v>
      </c>
      <c r="H9" t="s">
        <v>113</v>
      </c>
      <c r="I9" s="13" t="s">
        <v>120</v>
      </c>
      <c r="J9" s="13" t="s">
        <v>114</v>
      </c>
      <c r="K9" s="13" t="s">
        <v>129</v>
      </c>
      <c r="L9" t="s">
        <v>85</v>
      </c>
      <c r="M9" s="8">
        <v>2023</v>
      </c>
      <c r="N9" s="8">
        <v>2032</v>
      </c>
      <c r="O9" s="5">
        <v>45068</v>
      </c>
      <c r="P9" s="12">
        <v>45688</v>
      </c>
      <c r="Q9" s="12">
        <v>45840</v>
      </c>
      <c r="R9" s="12">
        <v>45719</v>
      </c>
      <c r="S9" s="12">
        <v>45834</v>
      </c>
      <c r="T9" s="12">
        <v>45826</v>
      </c>
      <c r="U9" s="12">
        <v>46150</v>
      </c>
      <c r="V9" s="8" t="s">
        <v>82</v>
      </c>
      <c r="AE9" s="12">
        <v>46177</v>
      </c>
      <c r="AK9"/>
      <c r="BM9" s="8" t="s">
        <v>94</v>
      </c>
      <c r="BN9" s="12">
        <v>45932</v>
      </c>
      <c r="BO9" s="8" t="s">
        <v>82</v>
      </c>
      <c r="BT9" s="8" t="s">
        <v>82</v>
      </c>
    </row>
    <row r="10" spans="1:72" ht="15" customHeight="1" x14ac:dyDescent="0.3">
      <c r="A10" t="s">
        <v>130</v>
      </c>
      <c r="B10" s="21" t="s">
        <v>75</v>
      </c>
      <c r="C10" t="s">
        <v>120</v>
      </c>
      <c r="D10" t="s">
        <v>121</v>
      </c>
      <c r="E10" t="s">
        <v>98</v>
      </c>
      <c r="F10" t="s">
        <v>79</v>
      </c>
      <c r="G10" t="s">
        <v>122</v>
      </c>
      <c r="H10" t="s">
        <v>131</v>
      </c>
      <c r="I10" t="s">
        <v>82</v>
      </c>
      <c r="J10" t="s">
        <v>132</v>
      </c>
      <c r="K10" t="s">
        <v>120</v>
      </c>
      <c r="L10" t="s">
        <v>85</v>
      </c>
      <c r="M10" s="8" t="s">
        <v>82</v>
      </c>
      <c r="N10" s="8" t="s">
        <v>133</v>
      </c>
      <c r="O10" s="8" t="s">
        <v>82</v>
      </c>
      <c r="P10" s="12">
        <v>45824</v>
      </c>
      <c r="R10" s="12">
        <v>45999</v>
      </c>
      <c r="S10" s="12">
        <v>46141</v>
      </c>
      <c r="V10" s="8" t="s">
        <v>82</v>
      </c>
      <c r="AK10"/>
      <c r="AN10" s="13"/>
      <c r="AQ10" s="13"/>
      <c r="AT10" s="13"/>
      <c r="AW10" s="13"/>
      <c r="AZ10" s="13"/>
      <c r="BC10" s="13"/>
      <c r="BF10" s="13"/>
      <c r="BL10" s="12"/>
      <c r="BM10" s="8" t="s">
        <v>82</v>
      </c>
      <c r="BN10" s="8" t="s">
        <v>82</v>
      </c>
      <c r="BO10" s="8" t="s">
        <v>82</v>
      </c>
      <c r="BP10" s="8" t="s">
        <v>82</v>
      </c>
      <c r="BQ10" s="8" t="s">
        <v>82</v>
      </c>
      <c r="BR10" s="8" t="s">
        <v>82</v>
      </c>
      <c r="BS10" s="8" t="s">
        <v>82</v>
      </c>
      <c r="BT10" s="8" t="s">
        <v>82</v>
      </c>
    </row>
    <row r="13" spans="1:72" ht="14.4" x14ac:dyDescent="0.3">
      <c r="V13" s="12"/>
      <c r="W13" s="12"/>
      <c r="X13" s="12"/>
      <c r="Y13" s="12"/>
      <c r="Z13" s="12"/>
      <c r="AA13" s="12"/>
      <c r="AB13" s="12"/>
      <c r="AC13" s="12"/>
      <c r="AD13" s="12"/>
    </row>
  </sheetData>
  <mergeCells count="2">
    <mergeCell ref="A1:N1"/>
    <mergeCell ref="O1:B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D90F-FD2B-4662-9EC2-2A54B10A8F13}">
  <dimension ref="A1:S21"/>
  <sheetViews>
    <sheetView zoomScale="99" workbookViewId="0">
      <selection activeCell="D8" sqref="D8"/>
    </sheetView>
  </sheetViews>
  <sheetFormatPr defaultColWidth="19" defaultRowHeight="15" customHeight="1" x14ac:dyDescent="0.3"/>
  <cols>
    <col min="1" max="1" width="33.109375" customWidth="1"/>
    <col min="2" max="2" width="17.33203125" customWidth="1"/>
    <col min="6" max="8" width="19" style="8"/>
    <col min="14" max="15" width="18" style="8" customWidth="1"/>
    <col min="16" max="19" width="19" style="8"/>
  </cols>
  <sheetData>
    <row r="1" spans="1:19" ht="25.2" customHeight="1" x14ac:dyDescent="0.3">
      <c r="A1" s="25" t="s">
        <v>140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</row>
    <row r="2" spans="1:19" s="1" customFormat="1" ht="80.25" customHeight="1" x14ac:dyDescent="0.3">
      <c r="A2" s="16" t="s">
        <v>2</v>
      </c>
      <c r="B2" s="17" t="s">
        <v>141</v>
      </c>
      <c r="C2" s="17" t="s">
        <v>142</v>
      </c>
      <c r="D2" s="18" t="s">
        <v>143</v>
      </c>
      <c r="E2" s="18" t="s">
        <v>144</v>
      </c>
      <c r="F2" s="17" t="s">
        <v>145</v>
      </c>
      <c r="G2" s="17" t="s">
        <v>146</v>
      </c>
      <c r="H2" s="17" t="s">
        <v>147</v>
      </c>
      <c r="I2" s="19" t="s">
        <v>148</v>
      </c>
      <c r="J2" s="17" t="s">
        <v>149</v>
      </c>
      <c r="K2" s="17" t="s">
        <v>150</v>
      </c>
      <c r="L2" s="17" t="s">
        <v>151</v>
      </c>
      <c r="M2" s="18" t="s">
        <v>152</v>
      </c>
      <c r="N2" s="17" t="s">
        <v>153</v>
      </c>
      <c r="O2" s="17" t="s">
        <v>154</v>
      </c>
      <c r="P2" s="17" t="s">
        <v>155</v>
      </c>
      <c r="Q2" s="17" t="s">
        <v>156</v>
      </c>
      <c r="R2" s="19" t="s">
        <v>157</v>
      </c>
      <c r="S2" s="20" t="s">
        <v>158</v>
      </c>
    </row>
    <row r="3" spans="1:19" ht="15" customHeight="1" x14ac:dyDescent="0.3">
      <c r="A3" t="s">
        <v>74</v>
      </c>
      <c r="B3" s="8" t="str">
        <f>IF(ISNUMBER(Data!$O3),(Data!$P3-Data!$O3),"N/A")</f>
        <v>N/A</v>
      </c>
      <c r="C3" s="8">
        <f>IF(ISNUMBER(Data!$T3),(Data!T3-Data!P3),"TBD")</f>
        <v>1534</v>
      </c>
      <c r="D3" s="8">
        <f>IF(ISNUMBER(Data!$U3),(Data!$U3-Data!$T3),IF(ISNUMBER(Data!$T3),(46294-Data!$T3),"TBD"))</f>
        <v>227</v>
      </c>
      <c r="E3" s="8">
        <f>IF(ISNUMBER(Data!$S3),(Data!S3-Data!R3),"TBD")</f>
        <v>53</v>
      </c>
      <c r="F3" s="8">
        <f>IF(Data!$V3="N/A","0",(ROUNDUP((COUNT(Data!$V3:$AD3)/2),0)))</f>
        <v>3</v>
      </c>
      <c r="G3" s="8">
        <f>IF(Data!$V3="N/A","N/A",(AVERAGE(_xlfn.IFS(ISNUMBER(Data!$W3-Data!$V3),(Data!$W3-Data!$V3),ISNUMBER(Data!$Z3-Data!$Y3),(Data!$Z3-Data!$Y3),ISNUMBER(Data!$AC3-Data!$AB3),(Data!$AC3-Data!$AB3)))))</f>
        <v>175</v>
      </c>
      <c r="H3" s="8">
        <f>IF(Data!$V3="N/A","N/A",(SUM(IF(ISNUMBER(Data!$W3-Data!$V3),(Data!$W3-Data!$V3)),IF(ISNUMBER(Data!$Z3-Data!$Y3),(Data!$Z3-Data!$Y3)),IF(ISNUMBER(Data!$AC3-Data!$AB3),(Data!$AC3-Data!$AB3)))))</f>
        <v>301</v>
      </c>
      <c r="I3" s="8">
        <f>IF(Data!$AI3="N/A","0",(ROUNDUP((COUNT(Data!$AI3:$BF3)/2),0)))</f>
        <v>6</v>
      </c>
      <c r="J3" s="15">
        <f>IF(Data!$AI3="","N/A",(AVERAGE((Data!$AJ3-Data!$AI3),(Data!$AM3-Data!$AL3),(Data!$AP3-Data!$AO3),(Data!$AS3-Data!$AR3),(Data!$AV3-Data!$AU3),(Data!$AY3-Data!$AX3))))</f>
        <v>71.333333333333329</v>
      </c>
      <c r="K3" s="11">
        <f>IF(Data!$AI3="","N/A",(SUM(IF(ISNUMBER(Data!$AJ3-Data!$AI3),(Data!$AJ3-Data!$AI3),""),IF(ISNUMBER(Data!$AM3-Data!$AL3),(Data!$AM3-Data!$AL3),""),IF(ISNUMBER(Data!$AP3-Data!$AO3),(Data!$AP3-Data!$AO3),""),IF(ISNUMBER(Data!$AS3-Data!$AR3),(Data!$AS3-Data!$AR3),""),IF(ISNUMBER(Data!$AV3-Data!$AU3),(Data!$AV3-Data!$AU3),""),IF(ISNUMBER(Data!$AY3-Data!$AX3),(Data!$AY3-Data!$AX3),""))))</f>
        <v>428</v>
      </c>
      <c r="L3" s="8">
        <f>IF(ISNUMBER(Data!$BG3),(Data!$BG3-Data!$AE3),"In progress")</f>
        <v>429</v>
      </c>
      <c r="M3">
        <v>18</v>
      </c>
      <c r="N3" s="11">
        <f>IF(ISNUMBER(Data!$BI3),(Data!$BI3-Data!$BG3),"In progress")</f>
        <v>179</v>
      </c>
      <c r="O3" s="11">
        <f>IF(Data!$BK3="","In progress",(Data!$BK3-Data!$BH3))</f>
        <v>217</v>
      </c>
      <c r="P3" s="11">
        <f>IF(Data!$BK3="","In progress",(Data!$BK3-Data!$BI3))</f>
        <v>163</v>
      </c>
      <c r="Q3" s="8" t="str" cm="1">
        <f t="array" ref="Q3">IF(Data!$E3="No","N/A",(_xlfn.IFS(Data!$BQ3="","In progress",ISNUMBER(Data!$BQ3),(Data!$BQ3-Data!$BN3),Data!$BQ3="N/A","N/A")))</f>
        <v>N/A</v>
      </c>
      <c r="R3" s="8" t="str" cm="1">
        <f t="array" ref="R3">IF(Data!$E3="No","N/A",(_xlfn.IFS(Data!$BR3="","In progress",ISNUMBER(Data!$BR3),(Data!$BR3-Data!$BN3),Data!$BR3="N/A","N/A")))</f>
        <v>N/A</v>
      </c>
      <c r="S3" s="8" t="str" cm="1">
        <f t="array" ref="S3">IF(Data!$E3="No","N/A",(_xlfn.IFS(Data!$BS3="","In progress",Data!$BT3="","In progress",ISNUMBER(Data!$BS3),(Data!$BS3-Data!$BN3),Data!$BS3="N/A","N/A")))</f>
        <v>N/A</v>
      </c>
    </row>
    <row r="4" spans="1:19" ht="14.4" x14ac:dyDescent="0.3">
      <c r="A4" t="s">
        <v>95</v>
      </c>
      <c r="B4" s="8">
        <f>IF(ISNUMBER(Data!$O4),(Data!$P4-Data!$O4),"N/A")</f>
        <v>22</v>
      </c>
      <c r="C4" s="8">
        <f>IF(ISNUMBER(Data!$T4),(Data!T4-Data!P4),"TBD")</f>
        <v>351</v>
      </c>
      <c r="D4" s="8">
        <f>IF(ISNUMBER(Data!$U4),(Data!$U4-Data!$T4),IF(ISNUMBER(Data!$T4),(46294-Data!$T4),"TBD"))</f>
        <v>149</v>
      </c>
      <c r="E4" s="8">
        <f>IF(ISNUMBER(Data!$S4),(Data!S4-Data!R4),"TBD")</f>
        <v>92</v>
      </c>
      <c r="F4" s="8" t="str">
        <f>IF(Data!$V4="N/A","0",(ROUNDUP((COUNT(Data!$V4:$AD4)/2),0)))</f>
        <v>0</v>
      </c>
      <c r="G4" s="8" t="str">
        <f>IF(Data!$V4="N/A","N/A",(AVERAGE(_xlfn.IFS(ISNUMBER(Data!$W4-Data!$V4),(Data!$W4-Data!$V4),ISNUMBER(Data!$Z4-Data!$Y4),(Data!$Z4-Data!$Y4),ISNUMBER(Data!$AC4-Data!$AB4),(Data!$AC4-Data!$AB4)))))</f>
        <v>N/A</v>
      </c>
      <c r="H4" s="8" t="str">
        <f>IF(Data!$V4="N/A","N/A",(SUM(IF(ISNUMBER(Data!$W4-Data!$V4),(Data!$W4-Data!$V4)),IF(ISNUMBER(Data!$Z4-Data!$Y4),(Data!$Z4-Data!$Y4)),IF(ISNUMBER(Data!$AC4-Data!$AB4),(Data!$AC4-Data!$AB4)))))</f>
        <v>N/A</v>
      </c>
      <c r="I4" s="8">
        <f>IF(Data!$AI4="N/A","0",(ROUNDUP((COUNT(Data!$AI4:$BF4)/2),0)))</f>
        <v>4</v>
      </c>
      <c r="J4" s="15">
        <f>IF(Data!$AI4="","N/A",(AVERAGE((Data!$AJ4-Data!$AI4),(Data!$AM4-Data!$AL4),(Data!$AP4-Data!$AO4),(Data!$AS4-Data!$AR4))))</f>
        <v>18.5</v>
      </c>
      <c r="K4" s="11">
        <f>IF(Data!$AI4="","N/A",(SUM(IF(ISNUMBER(Data!$AJ4-Data!$AI4),(Data!$AJ4-Data!$AI4),""),IF(ISNUMBER(Data!$AM4-Data!$AL4),(Data!$AM4-Data!$AL4),""),IF(ISNUMBER(Data!$AP4-Data!$AO4),(Data!$AP4-Data!$AO4),""),IF(ISNUMBER(Data!$AS4-Data!$AR4),(Data!$AS4-Data!$AR4),""))))</f>
        <v>74</v>
      </c>
      <c r="L4" s="8">
        <f>IF(ISNUMBER(Data!$BG4),(Data!$BG4-Data!$AE4),"In progress")</f>
        <v>238</v>
      </c>
      <c r="M4">
        <v>5</v>
      </c>
      <c r="N4" s="11">
        <f>IF(ISNUMBER(Data!$BI4),(Data!$BI4-Data!$BG4),"In progress")</f>
        <v>56</v>
      </c>
      <c r="O4" s="11">
        <f>IF(Data!$BK4="","In progress",(Data!$BK4-Data!$BH4))</f>
        <v>89</v>
      </c>
      <c r="P4" s="11">
        <f>IF(Data!$BK4="","In progress",(Data!$BK4-Data!$BI4))</f>
        <v>127</v>
      </c>
      <c r="Q4" s="8" t="str" cm="1">
        <f t="array" ref="Q4">IF(Data!$E4="No","N/A",(_xlfn.IFS(Data!$BQ4="","In progress",ISNUMBER(Data!$BQ4),(Data!$BQ4-Data!$BN4),Data!$BQ4="N/A","N/A")))</f>
        <v>N/A</v>
      </c>
      <c r="R4" s="8" t="str" cm="1">
        <f t="array" ref="R4">IF(Data!$E4="No","N/A",(_xlfn.IFS(Data!$BR4="","In progress",ISNUMBER(Data!$BR4),(Data!$BR4-Data!$BN4),Data!$BR4="N/A","N/A")))</f>
        <v>N/A</v>
      </c>
      <c r="S4" s="8" t="str" cm="1">
        <f t="array" ref="S4">IF(Data!$E4="No","N/A",(_xlfn.IFS(Data!$BS4="","In progress",Data!$BT4="","In progress",ISNUMBER(Data!$BS4),(Data!$BS4-Data!$BN4),Data!$BS4="N/A","N/A")))</f>
        <v>N/A</v>
      </c>
    </row>
    <row r="5" spans="1:19" ht="15" customHeight="1" x14ac:dyDescent="0.3">
      <c r="A5" t="s">
        <v>159</v>
      </c>
      <c r="B5" s="8">
        <f>IF(ISNUMBER(Data!$O5),(Data!$P5-Data!$O5),"N/A")</f>
        <v>4286</v>
      </c>
      <c r="C5" s="8">
        <f>IF(ISNUMBER(Data!$T5),(Data!T5-Data!P5),"TBD")</f>
        <v>301</v>
      </c>
      <c r="D5" s="8">
        <f>IF(ISNUMBER(Data!$U5),(Data!$U5-Data!$T5),IF(ISNUMBER(Data!$T5),(46294-Data!$T5),"TBD"))</f>
        <v>200</v>
      </c>
      <c r="E5" s="8">
        <f>IF(ISNUMBER(Data!$S5),(Data!S5-Data!R5),"TBD")</f>
        <v>127</v>
      </c>
      <c r="F5" s="8" t="str">
        <f>IF(Data!$V5="N/A","0",(ROUNDUP((COUNT(Data!$V5:$AD5)/2),0)))</f>
        <v>0</v>
      </c>
      <c r="G5" s="8" t="str">
        <f>IF(Data!$V5="N/A","N/A",(AVERAGE(_xlfn.IFS(ISNUMBER(Data!$W5-Data!$V5),(Data!$W5-Data!$V5),ISNUMBER(Data!$Z5-Data!$Y5),(Data!$Z5-Data!$Y5),ISNUMBER(Data!$AC5-Data!$AB5),(Data!$AC5-Data!$AB5)))))</f>
        <v>N/A</v>
      </c>
      <c r="H5" s="8" t="str">
        <f>IF(Data!$V5="N/A","N/A",(SUM(IF(ISNUMBER(Data!$W5-Data!$V5),(Data!$W5-Data!$V5)),IF(ISNUMBER(Data!$Z5-Data!$Y5),(Data!$Z5-Data!$Y5)),IF(ISNUMBER(Data!$AC5-Data!$AB5),(Data!$AC5-Data!$AB5)))))</f>
        <v>N/A</v>
      </c>
      <c r="I5" s="8">
        <f>IF(Data!$AI5="N/A","0",(ROUNDUP((COUNT(Data!$AI5:$BF5)/2),0)))</f>
        <v>2</v>
      </c>
      <c r="J5" s="15">
        <f>IF(Data!$AI5="","N/A",(AVERAGE((Data!$AJ5-Data!$AI5),(Data!$AM5-Data!$AL5))))</f>
        <v>12</v>
      </c>
      <c r="K5" s="11">
        <f>IF(Data!$AI5="","N/A",(SUM(IF(ISNUMBER(Data!$AJ5-Data!$AI5),(Data!$AJ5-Data!$AI5),""),IF(ISNUMBER(Data!$AM5-Data!$AL5),(Data!$AM5-Data!$AL5),""))))</f>
        <v>24</v>
      </c>
      <c r="L5" s="8">
        <f>IF(ISNUMBER(Data!$BG5),(Data!$BG5-Data!$AE5),"In progress")</f>
        <v>266</v>
      </c>
      <c r="M5">
        <v>4</v>
      </c>
      <c r="N5" s="11">
        <f>IF(ISNUMBER(Data!$BI5),(Data!$BI5-Data!$BG5),"In progress")</f>
        <v>64</v>
      </c>
      <c r="O5" s="11">
        <f>IF(Data!$BK5="","In progress",(Data!$BK5-Data!$BH5))</f>
        <v>135</v>
      </c>
      <c r="P5" s="11">
        <f>IF(Data!$BK5="","In progress",(Data!$BK5-Data!$BI5))</f>
        <v>161</v>
      </c>
      <c r="Q5" s="8" t="str" cm="1">
        <f t="array" ref="Q5">IF(Data!$E5="No","N/A",(_xlfn.IFS(Data!$BQ5="","In progress",ISNUMBER(Data!$BQ5),(Data!$BQ5-Data!$BN5),Data!$BQ5="N/A","N/A")))</f>
        <v>N/A</v>
      </c>
      <c r="R5" s="8" t="str" cm="1">
        <f t="array" ref="R5">IF(Data!$E5="No","N/A",(_xlfn.IFS(Data!$BR5="","In progress",ISNUMBER(Data!$BR5),(Data!$BR5-Data!$BN5),Data!$BR5="N/A","N/A")))</f>
        <v>N/A</v>
      </c>
      <c r="S5" s="8" t="str" cm="1">
        <f t="array" ref="S5">IF(Data!$E5="No","N/A",(_xlfn.IFS(Data!$BS5="","In progress",Data!$BT5="","In progress",ISNUMBER(Data!$BS5),(Data!$BS5-Data!$BN5),Data!$BS5="N/A","N/A")))</f>
        <v>N/A</v>
      </c>
    </row>
    <row r="6" spans="1:19" ht="15" customHeight="1" x14ac:dyDescent="0.3">
      <c r="A6" t="s">
        <v>111</v>
      </c>
      <c r="B6" s="8">
        <f>IF(ISNUMBER(Data!$O6),(Data!$P6-Data!$O6),"N/A")</f>
        <v>1</v>
      </c>
      <c r="C6" s="8">
        <f>IF(ISNUMBER(Data!$T6),(Data!T6-Data!P6),"TBD")</f>
        <v>330</v>
      </c>
      <c r="D6" s="8">
        <f>IF(ISNUMBER(Data!$U6),(Data!$U6-Data!$T6),IF(ISNUMBER(Data!$T6),(46294-Data!$T6),"TBD"))</f>
        <v>86</v>
      </c>
      <c r="E6" s="8">
        <f>IF(ISNUMBER(Data!$S6),(Data!S6-Data!R6),"TBD")</f>
        <v>115</v>
      </c>
      <c r="F6" s="8" t="str">
        <f>IF(Data!$V6="N/A","0",(ROUNDUP((COUNT(Data!$V6:$AD6)/2),0)))</f>
        <v>0</v>
      </c>
      <c r="G6" s="8" t="str">
        <f>IF(Data!$V6="N/A","N/A",(AVERAGE(_xlfn.IFS(ISNUMBER(Data!$W6-Data!$V6),(Data!$W6-Data!$V6),ISNUMBER(Data!$Z6-Data!$Y6),(Data!$Z6-Data!$Y6),ISNUMBER(Data!$AC6-Data!$AB6),(Data!$AC6-Data!$AB6)))))</f>
        <v>N/A</v>
      </c>
      <c r="H6" s="8" t="str">
        <f>IF(Data!$V6="N/A","N/A",(SUM(IF(ISNUMBER(Data!$W6-Data!$V6),(Data!$W6-Data!$V6)),IF(ISNUMBER(Data!$Z6-Data!$Y6),(Data!$Z6-Data!$Y6)),IF(ISNUMBER(Data!$AC6-Data!$AB6),(Data!$AC6-Data!$AB6)))))</f>
        <v>N/A</v>
      </c>
      <c r="I6" s="8">
        <f>IF(Data!$AI6="N/A","0",(ROUNDUP((COUNT(Data!$AI6:$BF6)/2),0)))</f>
        <v>8</v>
      </c>
      <c r="J6" s="15">
        <f>IF(Data!$AI6="","N/A",(AVERAGE((Data!$AJ6-Data!$AI6),(Data!$AM6-Data!$AL6),(Data!$AP6-Data!$AO6),(Data!$AS6-Data!$AR6),(Data!$AV6-Data!$AU6),(Data!$AY6-Data!$AX6),(Data!$BB6-Data!$BA6),(Data!$BE6-Data!$BD6))))</f>
        <v>17.375</v>
      </c>
      <c r="K6" s="11">
        <f>IF(Data!$AI6="","N/A",(SUM(IF(ISNUMBER(Data!$AJ6-Data!$AI6),(Data!$AJ6-Data!$AI6),""),IF(ISNUMBER(Data!$AM6-Data!$AL6),(Data!$AM6-Data!$AL6),""),IF(ISNUMBER(Data!$AP6-Data!$AO6),(Data!$AP6-Data!$AO6),""),IF(ISNUMBER(Data!$AS6-Data!$AR6),(Data!$AS6-Data!$AR6),""),IF(ISNUMBER(Data!$AV6-Data!$AU6),(Data!$AV6-Data!$AU6),""),IF(ISNUMBER(Data!$AY6-Data!$AX6),(Data!$AY6-Data!$AX6),""),IF(ISNUMBER(Data!$BB6-Data!$BA6),(Data!$BB6-Data!$BA6),""),IF(ISNUMBER(Data!$BE6-Data!$BD6),(Data!$BE6-Data!$BD6),""))))</f>
        <v>139</v>
      </c>
      <c r="L6" s="8">
        <f>IF(ISNUMBER(Data!$BG6),(Data!$BG6-Data!$AE6),"In progress")</f>
        <v>361</v>
      </c>
      <c r="M6">
        <v>12</v>
      </c>
      <c r="N6" s="11">
        <f>IF(ISNUMBER(Data!$BI6),(Data!$BI6-Data!$BG6),"In progress")</f>
        <v>196</v>
      </c>
      <c r="O6" s="11">
        <f>IF(Data!$BK6="","In progress",(Data!$BK6-Data!$BH6))</f>
        <v>97</v>
      </c>
      <c r="P6" s="11">
        <f>IF(Data!$BK6="","In progress",(Data!$BK6-Data!$BI6))</f>
        <v>87</v>
      </c>
      <c r="Q6" s="8" t="str" cm="1">
        <f t="array" ref="Q6">IF(Data!$E6="No","N/A",(_xlfn.IFS(Data!$BQ6="","In progress",ISNUMBER(Data!$BQ6),(Data!$BQ6-Data!$BN6),Data!$BQ6="N/A","N/A")))</f>
        <v>N/A</v>
      </c>
      <c r="R6" s="8" t="str" cm="1">
        <f t="array" ref="R6">IF(Data!$E6="No","N/A",(_xlfn.IFS(Data!$BR6="","In progress",ISNUMBER(Data!$BR6),(Data!$BR6-Data!$BN6),Data!$BR6="N/A","N/A")))</f>
        <v>N/A</v>
      </c>
      <c r="S6" s="8" t="str" cm="1">
        <f t="array" ref="S6">IF(Data!$E6="No","N/A",(_xlfn.IFS(Data!$BS6="","In progress",Data!$BT6="","In progress",ISNUMBER(Data!$BS6),(Data!$BS6-Data!$BN6),Data!$BS6="N/A","N/A")))</f>
        <v>N/A</v>
      </c>
    </row>
    <row r="7" spans="1:19" ht="15" customHeight="1" x14ac:dyDescent="0.3">
      <c r="A7" t="s">
        <v>134</v>
      </c>
      <c r="B7" s="8">
        <f>IF(ISNUMBER(Data!$O7),(Data!$P7-Data!$O7),"N/A")</f>
        <v>109</v>
      </c>
      <c r="C7" s="8">
        <f>IF(ISNUMBER(Data!$T7),(Data!T7-Data!P7),"TBD")</f>
        <v>200</v>
      </c>
      <c r="D7" s="8">
        <f>IF(ISNUMBER(Data!$U7),(Data!$U7-Data!$T7),IF(ISNUMBER(Data!$T7),(46294-Data!$T7),"TBD"))</f>
        <v>220</v>
      </c>
      <c r="E7" s="8">
        <f>IF(ISNUMBER(Data!$S7),(Data!S7-Data!R7),"TBD")</f>
        <v>119</v>
      </c>
      <c r="F7" s="8">
        <f>IF(Data!$V7="N/A","0",(ROUNDUP((COUNT(Data!$V7:$AD7)/2),0)))</f>
        <v>1</v>
      </c>
      <c r="G7" s="8">
        <f>IF(Data!$V7="N/A","N/A",(AVERAGE(_xlfn.IFS(ISNUMBER(Data!$W7-Data!$V7),(Data!$W7-Data!$V7),ISNUMBER(Data!$Z7-Data!$Y7),(Data!$Z7-Data!$Y7),ISNUMBER(Data!$AC7-Data!$AB7),(Data!$AC7-Data!$AB7)))))</f>
        <v>91</v>
      </c>
      <c r="H7" s="8">
        <f>IF(Data!$V7="N/A","N/A",(SUM(IF(ISNUMBER(Data!$W7-Data!$V7),(Data!$W7-Data!$V7)),IF(ISNUMBER(Data!$Z7-Data!$Y7),(Data!$Z7-Data!$Y7)),IF(ISNUMBER(Data!$AC7-Data!$AB7),(Data!$AC7-Data!$AB7)))))</f>
        <v>91</v>
      </c>
      <c r="I7" s="8">
        <f>IF(Data!$AI7="N/A","0",(ROUNDUP((COUNT(Data!$AI7:$BF7)/2),0)))</f>
        <v>0</v>
      </c>
      <c r="J7" s="15" t="str">
        <f>IF(Data!$AI7="","N/A",(AVERAGE((Data!$AJ7-Data!$AI7),(Data!$AM7-Data!$AL7),(Data!$AP7-Data!$AO7),(Data!$AS7-Data!$AR7),(Data!$AV7-Data!$AU7),(Data!$AY7-Data!$AX7),(Data!$BB7-Data!$BA7),(Data!$BE7-Data!$BD7))))</f>
        <v>N/A</v>
      </c>
      <c r="K7" s="11" t="str">
        <f>IF(Data!$AI7="","N/A",(SUM(IF(ISNUMBER(Data!$AJ7-Data!$AI7),(Data!$AJ7-Data!$AI7),""),IF(ISNUMBER(Data!$AM7-Data!$AL7),(Data!$AM7-Data!$AL7),""),IF(ISNUMBER(Data!$AP7-Data!$AO7),(Data!$AP7-Data!$AO7),""))))</f>
        <v>N/A</v>
      </c>
      <c r="L7" s="8" t="str">
        <f>IF(ISNUMBER(Data!$BG7),(Data!$BG7-Data!$AE7),"In progress")</f>
        <v>In progress</v>
      </c>
      <c r="M7" s="8" t="s">
        <v>120</v>
      </c>
      <c r="N7" s="11" t="str">
        <f>IF(ISNUMBER(Data!$BI7),(Data!$BI7-Data!$BG7),"In progress")</f>
        <v>In progress</v>
      </c>
      <c r="O7" s="11" t="str">
        <f>IF(Data!$BK7="","In progress",(Data!$BK7-Data!$BH7))</f>
        <v>In progress</v>
      </c>
      <c r="P7" s="11" t="str">
        <f>IF(Data!$BK7="","In progress",(Data!$BK7-Data!$BI7))</f>
        <v>In progress</v>
      </c>
      <c r="Q7" s="8" t="str" cm="1">
        <f t="array" ref="Q7">IF(Data!$E7="No","N/A",(_xlfn.IFS(Data!$BQ7="","In progress",ISNUMBER(Data!$BQ7),(Data!$BQ7-Data!$BN7),Data!$BQ7="N/A","N/A")))</f>
        <v>In progress</v>
      </c>
      <c r="R7" s="8" t="str" cm="1">
        <f t="array" ref="R7">IF(Data!$E7="No","N/A",(_xlfn.IFS(Data!$BR7="","In progress",ISNUMBER(Data!$BR7),(Data!$BR7-Data!$BN7),Data!$BR7="N/A","N/A")))</f>
        <v>In progress</v>
      </c>
      <c r="S7" s="8" t="str" cm="1">
        <f t="array" ref="S7">IF(Data!$E7="No","N/A",(_xlfn.IFS(Data!$BS7="","In progress",Data!$BT7="","In progress",ISNUMBER(Data!$BS7),(Data!$BS7-Data!$BN7),Data!$BS7="N/A","N/A")))</f>
        <v>In progress</v>
      </c>
    </row>
    <row r="8" spans="1:19" ht="15" customHeight="1" x14ac:dyDescent="0.3">
      <c r="A8" t="s">
        <v>119</v>
      </c>
      <c r="B8" s="8">
        <f>IF(ISNUMBER(Data!$O8),(Data!$P8-Data!$O8),"N/A")</f>
        <v>382</v>
      </c>
      <c r="C8" s="8">
        <f>IF(ISNUMBER(Data!$T8),(Data!T8-Data!P8),"TBD")</f>
        <v>329</v>
      </c>
      <c r="D8" s="8">
        <f>IF(ISNUMBER(Data!$U8),(Data!$U8-Data!$T8),IF(ISNUMBER(Data!$T8),(46294-Data!$T8),"TBD"))</f>
        <v>140</v>
      </c>
      <c r="E8" s="8">
        <f>IF(ISNUMBER(Data!$S8),(Data!S8-Data!R8),"TBD")</f>
        <v>143</v>
      </c>
      <c r="F8" s="8" t="str">
        <f>IF(Data!$V8="N/A","0",(ROUNDUP((COUNT(Data!$V8:$AD8)/2),0)))</f>
        <v>0</v>
      </c>
      <c r="G8" s="8" t="str">
        <f>IF(Data!$V8="N/A","N/A",(AVERAGE(_xlfn.IFS(ISNUMBER(Data!$W8-Data!$V8),(Data!$W8-Data!$V8),ISNUMBER(Data!$Z8-Data!$Y8),(Data!$Z8-Data!$Y8),ISNUMBER(Data!$AC8-Data!$AB8),(Data!$AC8-Data!$AB8)))))</f>
        <v>N/A</v>
      </c>
      <c r="H8" s="8" t="str">
        <f>IF(Data!$V8="N/A","N/A",(SUM(IF(ISNUMBER(Data!$W8-Data!$V8),(Data!$W8-Data!$V8)),IF(ISNUMBER(Data!$Z8-Data!$Y8),(Data!$Z8-Data!$Y8)),IF(ISNUMBER(Data!$AC8-Data!$AB8),(Data!$AC8-Data!$AB8)))))</f>
        <v>N/A</v>
      </c>
      <c r="I8" s="8">
        <f>IF(Data!$AI8="N/A","0",(ROUNDUP((COUNT(Data!$AI8:$BF8)/2),0)))</f>
        <v>0</v>
      </c>
      <c r="J8" s="15" t="str">
        <f>IF(Data!$AI8="","N/A",(AVERAGE((Data!$AJ8-Data!$AI8),(Data!$AM8-Data!$AL8),(Data!$AP8-Data!$AO8),(Data!$AS8-Data!$AR8),(Data!$AV8-Data!$AU8),(Data!$AY8-Data!$AX8),(Data!$BB8-Data!$BA8),(Data!$BE8-Data!$BD8))))</f>
        <v>N/A</v>
      </c>
      <c r="K8" s="11" t="str">
        <f>IF(Data!$AI8="","N/A",(SUM(IF(ISNUMBER(Data!$AJ8-Data!$AI8),(Data!$AJ8-Data!$AI8),""),IF(ISNUMBER(Data!$AM8-Data!$AL8),(Data!$AM8-Data!$AL8),""),IF(ISNUMBER(Data!$AP8-Data!$AO8),(Data!$AP8-Data!$AO8),""))))</f>
        <v>N/A</v>
      </c>
      <c r="L8" s="8" t="str">
        <f>IF(ISNUMBER(Data!$BG8),(Data!$BG8-Data!$AE8),"In progress")</f>
        <v>In progress</v>
      </c>
      <c r="M8" s="8" t="s">
        <v>120</v>
      </c>
      <c r="N8" s="11" t="str">
        <f>IF(ISNUMBER(Data!$BI8),(Data!$BI8-Data!$BG8),"In progress")</f>
        <v>In progress</v>
      </c>
      <c r="O8" s="11" t="str">
        <f>IF(Data!$BK8="","In progress",(Data!$BK8-Data!$BH8))</f>
        <v>In progress</v>
      </c>
      <c r="P8" s="11" t="str">
        <f>IF(Data!$BK8="","In progress",(Data!$BK8-Data!$BI8))</f>
        <v>In progress</v>
      </c>
      <c r="Q8" s="8" t="str" cm="1">
        <f t="array" ref="Q8">IF(Data!$E8="No","N/A",(_xlfn.IFS(Data!$BQ8="","In progress",ISNUMBER(Data!$BQ8),(Data!$BQ8-Data!$BN8),Data!$BQ8="N/A","N/A")))</f>
        <v>N/A</v>
      </c>
      <c r="R8" s="8" t="str" cm="1">
        <f t="array" ref="R8">IF(Data!$E8="No","N/A",(_xlfn.IFS(Data!$BR8="","In progress",ISNUMBER(Data!$BR8),(Data!$BR8-Data!$BN8),Data!$BR8="N/A","N/A")))</f>
        <v>N/A</v>
      </c>
      <c r="S8" s="8" t="str" cm="1">
        <f t="array" ref="S8">IF(Data!$E8="No","N/A",(_xlfn.IFS(Data!$BS8="","In progress",Data!$BT8="","In progress",ISNUMBER(Data!$BS8),(Data!$BS8-Data!$BN8),Data!$BS8="N/A","N/A")))</f>
        <v>N/A</v>
      </c>
    </row>
    <row r="9" spans="1:19" ht="15" customHeight="1" x14ac:dyDescent="0.3">
      <c r="A9" s="13" t="s">
        <v>126</v>
      </c>
      <c r="B9" s="8">
        <f>IF(ISNUMBER(Data!$O9),(Data!$P9-Data!$O9),"N/A")</f>
        <v>620</v>
      </c>
      <c r="C9" s="8">
        <f>IF(ISNUMBER(Data!$T9),(Data!T9-Data!P9),"TBD")</f>
        <v>138</v>
      </c>
      <c r="D9" s="8">
        <f>IF(ISNUMBER(Data!$U9),(Data!$U9-Data!$T9),IF(ISNUMBER(Data!$T9),(46294-Data!$T9),"TBD"))</f>
        <v>324</v>
      </c>
      <c r="E9" s="8">
        <f>IF(ISNUMBER(Data!$S9),(Data!S9-Data!R9),"TBD")</f>
        <v>115</v>
      </c>
      <c r="F9" s="8" t="str">
        <f>IF(Data!$V9="N/A","0",(ROUNDUP((COUNT(Data!$V9:$AD9)/2),0)))</f>
        <v>0</v>
      </c>
      <c r="G9" s="8" t="str">
        <f>IF(Data!$V9="N/A","N/A",(AVERAGE(_xlfn.IFS(ISNUMBER(Data!$W9-Data!$V9),(Data!$W9-Data!$V9),ISNUMBER(Data!$Z9-Data!$Y9),(Data!$Z9-Data!$Y9),ISNUMBER(Data!$AC9-Data!$AB9),(Data!$AC9-Data!$AB9)))))</f>
        <v>N/A</v>
      </c>
      <c r="H9" s="8" t="str">
        <f>IF(Data!$V9="N/A","N/A",(SUM(IF(ISNUMBER(Data!$W9-Data!$V9),(Data!$W9-Data!$V9)),IF(ISNUMBER(Data!$Z9-Data!$Y9),(Data!$Z9-Data!$Y9)),IF(ISNUMBER(Data!$AC9-Data!$AB9),(Data!$AC9-Data!$AB9)))))</f>
        <v>N/A</v>
      </c>
      <c r="I9" s="8">
        <f>IF(Data!$AI9="N/A","0",(ROUNDUP((COUNT(Data!$AI9:$BF9)/2),0)))</f>
        <v>0</v>
      </c>
      <c r="J9" s="15" t="str">
        <f>IF(Data!$AI9="","N/A",(AVERAGE((Data!$AJ9-Data!$AI9),(Data!$AM9-Data!$AL9),(Data!$AP9-Data!$AO9),(Data!$AS9-Data!$AR9),(Data!$AV9-Data!$AU9),(Data!$AY9-Data!$AX9),(Data!$BB9-Data!$BA9),(Data!$BE9-Data!$BD9))))</f>
        <v>N/A</v>
      </c>
      <c r="K9" s="11" t="str">
        <f>IF(Data!$AI9="","N/A",(SUM(IF(ISNUMBER(Data!$AJ9-Data!$AI9),(Data!$AJ9-Data!$AI9),""),IF(ISNUMBER(Data!$AM9-Data!$AL9),(Data!$AM9-Data!$AL9),""),IF(ISNUMBER(Data!$AP9-Data!$AO9),(Data!$AP9-Data!$AO9),""))))</f>
        <v>N/A</v>
      </c>
      <c r="L9" s="8" t="str">
        <f>IF(ISNUMBER(Data!$BG9),(Data!$BG9-Data!$AE9),"In progress")</f>
        <v>In progress</v>
      </c>
      <c r="M9" s="8" t="s">
        <v>120</v>
      </c>
      <c r="N9" s="11" t="str">
        <f>IF(ISNUMBER(Data!$BI9),(Data!$BI9-Data!$BG9),"In progress")</f>
        <v>In progress</v>
      </c>
      <c r="O9" s="11" t="str">
        <f>IF(Data!$BK9="","In progress",(Data!$BK9-Data!$BH9))</f>
        <v>In progress</v>
      </c>
      <c r="P9" s="11" t="str">
        <f>IF(Data!$BK9="","In progress",(Data!$BK9-Data!$BI9))</f>
        <v>In progress</v>
      </c>
      <c r="Q9" s="8" t="str" cm="1">
        <f t="array" ref="Q9">IF(Data!$E9="No","N/A",(_xlfn.IFS(Data!$BQ9="","In progress",ISNUMBER(Data!$BQ9),(Data!$BQ9-Data!$BN9),Data!$BQ9="N/A","N/A")))</f>
        <v>In progress</v>
      </c>
      <c r="R9" s="8" t="str" cm="1">
        <f t="array" ref="R9">IF(Data!$E9="No","N/A",(_xlfn.IFS(Data!$BR9="","In progress",ISNUMBER(Data!$BR9),(Data!$BR9-Data!$BN9),Data!$BR9="N/A","N/A")))</f>
        <v>In progress</v>
      </c>
      <c r="S9" s="8" t="str" cm="1">
        <f t="array" ref="S9">IF(Data!$E9="No","N/A",(_xlfn.IFS(Data!$BS9="","In progress",Data!$BT9="","In progress",ISNUMBER(Data!$BS9),(Data!$BS9-Data!$BN9),Data!$BS9="N/A","N/A")))</f>
        <v>In progress</v>
      </c>
    </row>
    <row r="10" spans="1:19" ht="15" customHeight="1" x14ac:dyDescent="0.3">
      <c r="A10" t="s">
        <v>130</v>
      </c>
      <c r="B10" s="8" t="str">
        <f>IF(ISNUMBER(Data!$O10),(Data!$P10-Data!$O10),"N/A")</f>
        <v>N/A</v>
      </c>
      <c r="C10" s="8" t="str">
        <f>IF(ISNUMBER(Data!$T10),(Data!T10-Data!P10),"TBD")</f>
        <v>TBD</v>
      </c>
      <c r="D10" s="8" t="str">
        <f>IF(ISNUMBER(Data!$U10),(Data!$U10-Data!$T10),IF(ISNUMBER(Data!$T10),(46294-Data!$T10),"TBD"))</f>
        <v>TBD</v>
      </c>
      <c r="E10" s="8">
        <f>IF(ISNUMBER(Data!$S10),(Data!S10-Data!R10),"TBD")</f>
        <v>142</v>
      </c>
      <c r="F10" s="8" t="str">
        <f>IF(Data!$V10="N/A","0",(ROUNDUP((COUNT(Data!$V10:$AD10)/2),0)))</f>
        <v>0</v>
      </c>
      <c r="G10" s="8" t="str">
        <f>IF(Data!$V10="N/A","N/A",(AVERAGE(_xlfn.IFS(ISNUMBER(Data!$W10-Data!$V10),(Data!$W10-Data!$V10),ISNUMBER(Data!$Z10-Data!$Y10),(Data!$Z10-Data!$Y10),ISNUMBER(Data!$AC10-Data!$AB10),(Data!$AC10-Data!$AB10)))))</f>
        <v>N/A</v>
      </c>
      <c r="H10" s="8" t="str">
        <f>IF(Data!$V10="N/A","N/A",(SUM(IF(ISNUMBER(Data!$W10-Data!$V10),(Data!$W10-Data!$V10)),IF(ISNUMBER(Data!$Z10-Data!$Y10),(Data!$Z10-Data!$Y10)),IF(ISNUMBER(Data!$AC10-Data!$AB10),(Data!$AC10-Data!$AB10)))))</f>
        <v>N/A</v>
      </c>
      <c r="I10" s="8">
        <f>IF(Data!$AI10="N/A","0",(ROUNDUP((COUNT(Data!$AI10:$BF10)/2),0)))</f>
        <v>0</v>
      </c>
      <c r="J10" s="15" t="str">
        <f>IF(Data!$AI10="","N/A",(AVERAGE((Data!$AJ10-Data!$AI10),(Data!$AM10-Data!$AL10),(Data!$AP10-Data!$AO10),(Data!$AS10-Data!$AR10),(Data!$AV10-Data!$AU10),(Data!$AY10-Data!$AX10),(Data!$BB10-Data!$BA10),(Data!$BE10-Data!$BD10))))</f>
        <v>N/A</v>
      </c>
      <c r="K10" s="11" t="str">
        <f>IF(Data!$AI10="","N/A",(SUM(IF(ISNUMBER(Data!$AJ10-Data!$AI10),(Data!$AJ10-Data!$AI10),""),IF(ISNUMBER(Data!$AM10-Data!$AL10),(Data!$AM10-Data!$AL10),""),IF(ISNUMBER(Data!$AP10-Data!$AO10),(Data!$AP10-Data!$AO10),""))))</f>
        <v>N/A</v>
      </c>
      <c r="L10" s="8" t="str">
        <f>IF(ISNUMBER(Data!$BG10),(Data!$BG10-Data!$AE10),"In progress")</f>
        <v>In progress</v>
      </c>
      <c r="M10" s="8" t="s">
        <v>120</v>
      </c>
      <c r="N10" s="11" t="str">
        <f>IF(ISNUMBER(Data!$BI10),(Data!$BI10-Data!$BG10),"In progress")</f>
        <v>In progress</v>
      </c>
      <c r="O10" s="11" t="str">
        <f>IF(Data!$BK10="","In progress",(Data!$BK10-Data!$BH10))</f>
        <v>In progress</v>
      </c>
      <c r="P10" s="11" t="str">
        <f>IF(Data!$BK10="","In progress",(Data!$BK10-Data!$BI10))</f>
        <v>In progress</v>
      </c>
      <c r="Q10" s="8" t="str" cm="1">
        <f t="array" ref="Q10">IF(Data!$E10="No","N/A",(_xlfn.IFS(Data!$BQ10="","In progress",ISNUMBER(Data!$BQ10),(Data!$BQ10-Data!$BN10),Data!$BQ10="N/A","N/A")))</f>
        <v>N/A</v>
      </c>
      <c r="R10" s="8" t="str" cm="1">
        <f t="array" ref="R10">IF(Data!$E10="No","N/A",(_xlfn.IFS(Data!$BR10="","In progress",ISNUMBER(Data!$BR10),(Data!$BR10-Data!$BN10),Data!$BR10="N/A","N/A")))</f>
        <v>N/A</v>
      </c>
      <c r="S10" s="8" t="str" cm="1">
        <f t="array" ref="S10">IF(Data!$E10="No","N/A",(_xlfn.IFS(Data!$BS10="","In progress",Data!$BT10="","In progress",ISNUMBER(Data!$BS10),(Data!$BS10-Data!$BN10),Data!$BS10="N/A","N/A")))</f>
        <v>N/A</v>
      </c>
    </row>
    <row r="12" spans="1:19" ht="15" customHeight="1" x14ac:dyDescent="0.3">
      <c r="D12" s="5"/>
      <c r="I12" s="8"/>
      <c r="J12" s="9"/>
      <c r="K12" s="10"/>
      <c r="N12" s="11"/>
      <c r="O12" s="11"/>
      <c r="P12" s="11"/>
    </row>
    <row r="14" spans="1:19" ht="15" customHeight="1" x14ac:dyDescent="0.3">
      <c r="C14" s="8"/>
      <c r="D14" s="10"/>
    </row>
    <row r="15" spans="1:19" ht="15" customHeight="1" x14ac:dyDescent="0.3">
      <c r="C15" s="8"/>
      <c r="D15" s="10"/>
    </row>
    <row r="16" spans="1:19" ht="14.4" x14ac:dyDescent="0.3">
      <c r="C16" s="8"/>
      <c r="D16" s="10"/>
      <c r="Q16" s="5"/>
      <c r="R16" s="12"/>
    </row>
    <row r="17" spans="3:4" ht="15" customHeight="1" x14ac:dyDescent="0.3">
      <c r="C17" s="8"/>
      <c r="D17" s="10"/>
    </row>
    <row r="18" spans="3:4" ht="15" customHeight="1" x14ac:dyDescent="0.3">
      <c r="C18" s="8"/>
      <c r="D18" s="10"/>
    </row>
    <row r="19" spans="3:4" ht="15" customHeight="1" x14ac:dyDescent="0.3">
      <c r="C19" s="8"/>
      <c r="D19" s="10"/>
    </row>
    <row r="20" spans="3:4" ht="15" customHeight="1" x14ac:dyDescent="0.3">
      <c r="C20" s="8"/>
      <c r="D20" s="10"/>
    </row>
    <row r="21" spans="3:4" ht="15" customHeight="1" x14ac:dyDescent="0.3">
      <c r="C21" s="8"/>
      <c r="D21" s="10"/>
    </row>
  </sheetData>
  <mergeCells count="1"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2BA1-DB36-4861-BDCA-E64CD58E2DFB}">
  <dimension ref="A1:P16"/>
  <sheetViews>
    <sheetView workbookViewId="0">
      <pane xSplit="1" topLeftCell="B1" activePane="topRight" state="frozen"/>
      <selection pane="topRight" activeCell="M14" sqref="M14"/>
    </sheetView>
  </sheetViews>
  <sheetFormatPr defaultRowHeight="15" customHeight="1" x14ac:dyDescent="0.3"/>
  <cols>
    <col min="1" max="1" width="34.5546875" customWidth="1"/>
    <col min="2" max="2" width="31.33203125" customWidth="1"/>
    <col min="3" max="4" width="13.44140625" customWidth="1"/>
    <col min="5" max="5" width="15.33203125" customWidth="1"/>
    <col min="6" max="7" width="13.44140625" customWidth="1"/>
    <col min="8" max="8" width="17.109375" customWidth="1"/>
    <col min="9" max="9" width="20" customWidth="1"/>
    <col min="10" max="10" width="13.5546875" customWidth="1"/>
    <col min="11" max="11" width="18.109375" customWidth="1"/>
    <col min="12" max="13" width="13.109375" style="8" customWidth="1"/>
    <col min="14" max="15" width="13.109375" customWidth="1"/>
    <col min="16" max="16" width="18.33203125" customWidth="1"/>
  </cols>
  <sheetData>
    <row r="1" spans="1:16" ht="24.6" customHeight="1" x14ac:dyDescent="0.3">
      <c r="A1" s="22" t="s">
        <v>160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43.2" x14ac:dyDescent="0.3">
      <c r="A2" s="2" t="s">
        <v>2</v>
      </c>
      <c r="B2" s="3" t="s">
        <v>3</v>
      </c>
      <c r="C2" s="6" t="s">
        <v>4</v>
      </c>
      <c r="D2" s="3" t="s">
        <v>7</v>
      </c>
      <c r="E2" s="7" t="s">
        <v>9</v>
      </c>
      <c r="F2" s="7" t="s">
        <v>5</v>
      </c>
      <c r="G2" s="7" t="s">
        <v>6</v>
      </c>
      <c r="H2" s="3" t="s">
        <v>161</v>
      </c>
      <c r="I2" s="3" t="s">
        <v>162</v>
      </c>
      <c r="J2" s="3" t="s">
        <v>163</v>
      </c>
      <c r="K2" s="3" t="s">
        <v>164</v>
      </c>
      <c r="L2" s="3" t="s">
        <v>165</v>
      </c>
      <c r="M2" s="3" t="s">
        <v>145</v>
      </c>
      <c r="N2" s="3" t="s">
        <v>148</v>
      </c>
      <c r="O2" s="3" t="s">
        <v>166</v>
      </c>
      <c r="P2" s="4" t="s">
        <v>167</v>
      </c>
    </row>
    <row r="3" spans="1:16" ht="14.4" x14ac:dyDescent="0.3">
      <c r="A3" t="s">
        <v>74</v>
      </c>
      <c r="B3" s="21" t="s">
        <v>75</v>
      </c>
      <c r="C3" t="s">
        <v>76</v>
      </c>
      <c r="D3" t="s">
        <v>79</v>
      </c>
      <c r="E3" t="s">
        <v>81</v>
      </c>
      <c r="F3" t="str">
        <f>Data!D3</f>
        <v>GO 131-D</v>
      </c>
      <c r="G3" t="str">
        <f>Data!E3</f>
        <v>Yes</v>
      </c>
      <c r="H3" s="8">
        <f>IF(ISNUMBER(Data!$U3),(Data!$U3-Data!$T3),IF(ISNUMBER(Data!$T3),(46294-Data!$T3),"TBD"))</f>
        <v>227</v>
      </c>
      <c r="I3" s="8">
        <f>IF(ISNUMBER(Data!AE3),(Data!$AE3-Data!$U3),IF(ISNUMBER(Data!U3),"In progress","TBD"))</f>
        <v>569</v>
      </c>
      <c r="J3" s="8">
        <f>IF(ISNUMBER(Data!$BH3),(Data!$BH3-Data!$AE3),(IF(ISNUMBER(Data!$AE3),(46294-Data!$AE3),"TBD")))</f>
        <v>554</v>
      </c>
      <c r="K3" s="8">
        <f>IF(Data!$BK3="",IF(ISNUMBER(Data!$U3),(46294-Data!$AE3),"TBD"),(Data!$BK3-Data!$AE3))</f>
        <v>771</v>
      </c>
      <c r="L3" s="8" t="str">
        <f>IF(Data!$E3="No", "N/A",IF(ISNUMBER(Data!$BN3),(46294-Data!$BN3),"TBD"))</f>
        <v>TBD</v>
      </c>
      <c r="M3" s="8">
        <f>'Metrics (Detailed)'!$F3</f>
        <v>3</v>
      </c>
      <c r="N3">
        <f>'Metrics (Detailed)'!$I3</f>
        <v>6</v>
      </c>
      <c r="O3">
        <f>IF(Data!$AF3="N/A",0,COUNT(Data!$AF3:'Data'!$AH3))</f>
        <v>0</v>
      </c>
      <c r="P3" t="s">
        <v>168</v>
      </c>
    </row>
    <row r="4" spans="1:16" ht="14.4" x14ac:dyDescent="0.3">
      <c r="A4" t="s">
        <v>95</v>
      </c>
      <c r="B4" s="21" t="s">
        <v>96</v>
      </c>
      <c r="C4" t="s">
        <v>97</v>
      </c>
      <c r="D4" t="s">
        <v>99</v>
      </c>
      <c r="E4" t="s">
        <v>81</v>
      </c>
      <c r="F4" t="str">
        <f>Data!D4</f>
        <v>GO 131-D</v>
      </c>
      <c r="G4" t="str">
        <f>Data!E4</f>
        <v>No</v>
      </c>
      <c r="H4" s="8">
        <f>IF(ISNUMBER(Data!$U4),(Data!$U4-Data!$T4),IF(ISNUMBER(Data!$T4),(46294-Data!$T4),"TBD"))</f>
        <v>149</v>
      </c>
      <c r="I4" s="8">
        <f>IF(ISNUMBER(Data!AE4),(Data!$AE4-Data!$U4),IF(ISNUMBER(Data!U4),"In progress","TBD"))</f>
        <v>26</v>
      </c>
      <c r="J4" s="8">
        <f>IF(ISNUMBER(Data!$BH4),(Data!$BH4-Data!$AE4),(IF(ISNUMBER(Data!$AE4),(46294-Data!$AE4),"TBD")))</f>
        <v>332</v>
      </c>
      <c r="K4" s="8">
        <f>IF(Data!$BK4="",IF(ISNUMBER(Data!$U4),(46294-Data!$AE4),"TBD"),(Data!$BK4-Data!$AE4))</f>
        <v>421</v>
      </c>
      <c r="L4" s="8" t="str">
        <f>IF(Data!$E4="No", "N/A",IF(ISNUMBER(Data!$BN4),(46294-Data!$BN4),"TBD"))</f>
        <v>N/A</v>
      </c>
      <c r="M4" s="8" t="str">
        <f>'Metrics (Detailed)'!$F4</f>
        <v>0</v>
      </c>
      <c r="N4">
        <f>'Metrics (Detailed)'!$I4</f>
        <v>4</v>
      </c>
      <c r="O4">
        <f>IF(Data!$AF4="N/A",0,COUNT(Data!$AF4:'Data'!$AH4))</f>
        <v>0</v>
      </c>
      <c r="P4" t="s">
        <v>168</v>
      </c>
    </row>
    <row r="5" spans="1:16" ht="14.4" x14ac:dyDescent="0.3">
      <c r="A5" t="s">
        <v>159</v>
      </c>
      <c r="B5" s="21" t="s">
        <v>105</v>
      </c>
      <c r="C5" t="s">
        <v>106</v>
      </c>
      <c r="D5" t="s">
        <v>79</v>
      </c>
      <c r="E5" t="s">
        <v>81</v>
      </c>
      <c r="F5" t="str">
        <f>Data!D5</f>
        <v>GO 131-D</v>
      </c>
      <c r="G5" t="str">
        <f>Data!E5</f>
        <v>No</v>
      </c>
      <c r="H5" s="8">
        <f>IF(ISNUMBER(Data!$U5),(Data!$U5-Data!$T5),IF(ISNUMBER(Data!$T5),(46294-Data!$T5),"TBD"))</f>
        <v>200</v>
      </c>
      <c r="I5" s="8">
        <f>IF(ISNUMBER(Data!AE5),(Data!$AE5-Data!$U5),IF(ISNUMBER(Data!U5),"In progress","TBD"))</f>
        <v>29</v>
      </c>
      <c r="J5" s="8">
        <f>IF(ISNUMBER(Data!$BH5),(Data!$BH5-Data!$AE5),(IF(ISNUMBER(Data!$AE5),(46294-Data!$AE5),"TBD")))</f>
        <v>356</v>
      </c>
      <c r="K5" s="8">
        <f>IF(Data!$BK5="",IF(ISNUMBER(Data!$U5),(46294-Data!$AE5),"TBD"),(Data!$BK5-Data!$AE5))</f>
        <v>491</v>
      </c>
      <c r="L5" s="8" t="str">
        <f>IF(Data!$E5="No", "N/A",IF(ISNUMBER(Data!$BN5),(46294-Data!$BN5),"TBD"))</f>
        <v>N/A</v>
      </c>
      <c r="M5" s="8" t="str">
        <f>'Metrics (Detailed)'!$F5</f>
        <v>0</v>
      </c>
      <c r="N5">
        <f>'Metrics (Detailed)'!$I5</f>
        <v>2</v>
      </c>
      <c r="O5">
        <f>IF(Data!$AF5="N/A",0,COUNT(Data!$AF5:'Data'!$AH5))</f>
        <v>0</v>
      </c>
      <c r="P5" t="s">
        <v>168</v>
      </c>
    </row>
    <row r="6" spans="1:16" ht="14.4" x14ac:dyDescent="0.3">
      <c r="A6" t="s">
        <v>111</v>
      </c>
      <c r="B6" s="21" t="s">
        <v>96</v>
      </c>
      <c r="C6" t="s">
        <v>112</v>
      </c>
      <c r="D6" t="s">
        <v>99</v>
      </c>
      <c r="E6" t="s">
        <v>113</v>
      </c>
      <c r="F6" t="str">
        <f>Data!D6</f>
        <v>GO 131-D</v>
      </c>
      <c r="G6" t="str">
        <f>Data!E6</f>
        <v>No</v>
      </c>
      <c r="H6" s="8">
        <f>IF(ISNUMBER(Data!$U6),(Data!$U6-Data!$T6),IF(ISNUMBER(Data!$T6),(46294-Data!$T6),"TBD"))</f>
        <v>86</v>
      </c>
      <c r="I6" s="8">
        <f>IF(ISNUMBER(Data!AE6),(Data!$AE6-Data!$U6),IF(ISNUMBER(Data!U6),"In progress","TBD"))</f>
        <v>27</v>
      </c>
      <c r="J6" s="8">
        <f>IF(ISNUMBER(Data!$BH6),(Data!$BH6-Data!$AE6),(IF(ISNUMBER(Data!$AE6),(46294-Data!$AE6),"TBD")))</f>
        <v>547</v>
      </c>
      <c r="K6" s="8">
        <f>IF(Data!$BK6="",IF(ISNUMBER(Data!$U6),(46294-Data!$AE6),"TBD"),(Data!$BK6-Data!$AE6))</f>
        <v>644</v>
      </c>
      <c r="L6" s="8" t="str">
        <f>IF(Data!$E6="No", "N/A",IF(ISNUMBER(Data!$BN6),(46294-Data!$BN6),"TBD"))</f>
        <v>N/A</v>
      </c>
      <c r="M6" s="8" t="str">
        <f>'Metrics (Detailed)'!$F6</f>
        <v>0</v>
      </c>
      <c r="N6">
        <f>'Metrics (Detailed)'!$I6</f>
        <v>8</v>
      </c>
      <c r="O6">
        <f>IF(Data!$AF6="N/A",0,COUNT(Data!$AF6:'Data'!$AH6))</f>
        <v>1</v>
      </c>
      <c r="P6" t="s">
        <v>168</v>
      </c>
    </row>
    <row r="7" spans="1:16" ht="14.4" x14ac:dyDescent="0.3">
      <c r="A7" t="s">
        <v>134</v>
      </c>
      <c r="B7" s="21" t="s">
        <v>135</v>
      </c>
      <c r="C7" t="s">
        <v>136</v>
      </c>
      <c r="D7" t="s">
        <v>99</v>
      </c>
      <c r="E7" t="s">
        <v>113</v>
      </c>
      <c r="F7" t="s">
        <v>121</v>
      </c>
      <c r="G7" t="s">
        <v>78</v>
      </c>
      <c r="H7" s="8">
        <f>IF(ISNUMBER(Data!$U7),(Data!$U7-Data!$T7),IF(ISNUMBER(Data!$T7),(46294-Data!$T7),"TBD"))</f>
        <v>220</v>
      </c>
      <c r="I7" s="8">
        <f>IF(ISNUMBER(Data!AE7),(Data!$AE7-Data!$U7),IF(ISNUMBER(Data!U7),"In progress","TBD"))</f>
        <v>169</v>
      </c>
      <c r="J7" s="8">
        <f>IF(ISNUMBER(Data!$BH7),(Data!$BH7-Data!$AE7),(IF(ISNUMBER(Data!$AE7),(46294-Data!$AE7),"TBD")))</f>
        <v>203</v>
      </c>
      <c r="K7" s="8">
        <f>IF(Data!$BK7="",IF(ISNUMBER(Data!$U7),(46294-Data!$AE7),"TBD"),(Data!$BK7-Data!$AE7))</f>
        <v>203</v>
      </c>
      <c r="L7" s="8">
        <f>IF(Data!$E7="No", "N/A",IF(ISNUMBER(Data!$BN7),(46294-Data!$BN7),"TBD"))</f>
        <v>564</v>
      </c>
      <c r="M7" s="8">
        <f>'Metrics (Detailed)'!$F7</f>
        <v>1</v>
      </c>
      <c r="N7">
        <f>'Metrics (Detailed)'!$I7</f>
        <v>0</v>
      </c>
      <c r="O7">
        <f>IF(Data!$AF7="N/A",0,COUNT(Data!$AF7:'Data'!$AH7))</f>
        <v>0</v>
      </c>
      <c r="P7" t="s">
        <v>170</v>
      </c>
    </row>
    <row r="8" spans="1:16" ht="14.4" x14ac:dyDescent="0.3">
      <c r="A8" t="s">
        <v>119</v>
      </c>
      <c r="B8" s="21" t="s">
        <v>75</v>
      </c>
      <c r="C8" t="s">
        <v>120</v>
      </c>
      <c r="D8" t="s">
        <v>99</v>
      </c>
      <c r="E8" t="s">
        <v>123</v>
      </c>
      <c r="F8" t="str">
        <f>Data!D8</f>
        <v>GO 131-E</v>
      </c>
      <c r="G8" t="str">
        <f>Data!E8</f>
        <v>No</v>
      </c>
      <c r="H8" s="8">
        <f>IF(ISNUMBER(Data!$U8),(Data!$U8-Data!$T8),IF(ISNUMBER(Data!$T8),(46294-Data!$T8),"TBD"))</f>
        <v>140</v>
      </c>
      <c r="I8" s="8" t="str">
        <f>IF(ISNUMBER(Data!AE8),(Data!$AE8-Data!$U8),IF(ISNUMBER(Data!U8),"In progress","TBD"))</f>
        <v>TBD</v>
      </c>
      <c r="J8" s="8" t="str">
        <f>IF(ISNUMBER(Data!$BH8),(Data!$BH8-Data!$AE8),(IF(ISNUMBER(Data!$AE8),(46294-Data!$AE8),"TBD")))</f>
        <v>TBD</v>
      </c>
      <c r="K8" s="8" t="str">
        <f>IF(Data!$BK8="",IF(ISNUMBER(Data!$U8),(46294-Data!$AE8),"TBD"),(Data!$BK8-Data!$AE8))</f>
        <v>TBD</v>
      </c>
      <c r="L8" s="8" t="str">
        <f>IF(Data!$E8="No", "N/A",IF(ISNUMBER(Data!$BN8),(46294-Data!$BN8),"TBD"))</f>
        <v>N/A</v>
      </c>
      <c r="M8" s="8" t="str">
        <f>'Metrics (Detailed)'!$F8</f>
        <v>0</v>
      </c>
      <c r="N8">
        <f>'Metrics (Detailed)'!$I8</f>
        <v>0</v>
      </c>
      <c r="O8">
        <f>IF(Data!$AF8="N/A",0,COUNT(Data!$AF8:'Data'!$AH8))</f>
        <v>0</v>
      </c>
      <c r="P8" t="s">
        <v>169</v>
      </c>
    </row>
    <row r="9" spans="1:16" ht="14.4" x14ac:dyDescent="0.3">
      <c r="A9" s="13" t="s">
        <v>126</v>
      </c>
      <c r="B9" s="21" t="s">
        <v>127</v>
      </c>
      <c r="C9" s="13" t="s">
        <v>128</v>
      </c>
      <c r="D9" s="13" t="s">
        <v>79</v>
      </c>
      <c r="E9" t="s">
        <v>113</v>
      </c>
      <c r="F9" t="str">
        <f>Data!D9</f>
        <v>GO 131-E</v>
      </c>
      <c r="G9" t="str">
        <f>Data!E9</f>
        <v>Yes</v>
      </c>
      <c r="H9" s="8">
        <f>IF(ISNUMBER(Data!$U9),(Data!$U9-Data!$T9),IF(ISNUMBER(Data!$T9),(46294-Data!$T9),"TBD"))</f>
        <v>324</v>
      </c>
      <c r="I9" s="8">
        <f>IF(ISNUMBER(Data!AE9),(Data!$AE9-Data!$U9),IF(ISNUMBER(Data!U9),"In progress","TBD"))</f>
        <v>27</v>
      </c>
      <c r="J9" s="8">
        <f>IF(ISNUMBER(Data!$BH9),(Data!$BH9-Data!$AE9),(IF(ISNUMBER(Data!$AE9),(46294-Data!$AE9),"TBD")))</f>
        <v>117</v>
      </c>
      <c r="K9" s="8">
        <f>IF(Data!$BK9="",IF(ISNUMBER(Data!$U9),(46294-Data!$AE9),"TBD"),(Data!$BK9-Data!$AE9))</f>
        <v>117</v>
      </c>
      <c r="L9" s="8">
        <f>IF(Data!$E9="No", "N/A",IF(ISNUMBER(Data!$BN9),(46294-Data!$BN9),"TBD"))</f>
        <v>362</v>
      </c>
      <c r="M9" s="8" t="str">
        <f>'Metrics (Detailed)'!$F9</f>
        <v>0</v>
      </c>
      <c r="N9">
        <f>'Metrics (Detailed)'!$I9</f>
        <v>0</v>
      </c>
      <c r="O9">
        <f>IF(Data!$AF9="N/A",0,COUNT(Data!$AF9:'Data'!$AH9))</f>
        <v>0</v>
      </c>
      <c r="P9" t="s">
        <v>170</v>
      </c>
    </row>
    <row r="10" spans="1:16" ht="14.4" x14ac:dyDescent="0.3">
      <c r="A10" t="s">
        <v>130</v>
      </c>
      <c r="B10" s="21" t="s">
        <v>75</v>
      </c>
      <c r="C10" t="s">
        <v>120</v>
      </c>
      <c r="D10" t="s">
        <v>79</v>
      </c>
      <c r="E10" t="s">
        <v>131</v>
      </c>
      <c r="F10" t="str">
        <f>Data!D10</f>
        <v>GO 131-E</v>
      </c>
      <c r="G10" t="str">
        <f>Data!E10</f>
        <v>No</v>
      </c>
      <c r="H10" s="8" t="str">
        <f>IF(ISNUMBER(Data!$U10),(Data!$U10-Data!$T10),IF(ISNUMBER(Data!$T10),(46294-Data!$T10),"TBD"))</f>
        <v>TBD</v>
      </c>
      <c r="I10" s="8" t="str">
        <f>IF(ISNUMBER(Data!AE10),(Data!$AE10-Data!$U10),IF(ISNUMBER(Data!U10),"In progress","TBD"))</f>
        <v>TBD</v>
      </c>
      <c r="J10" s="8" t="str">
        <f>IF(ISNUMBER(Data!$BH10),(Data!$BH10-Data!$AE10),(IF(ISNUMBER(Data!$AE10),(46294-Data!$AE10),"TBD")))</f>
        <v>TBD</v>
      </c>
      <c r="K10" s="8" t="str">
        <f>IF(Data!$BK10="",IF(ISNUMBER(Data!$U10),(46294-Data!$AE10),"TBD"),(Data!$BK10-Data!$AE10))</f>
        <v>TBD</v>
      </c>
      <c r="L10" s="8" t="str">
        <f>IF(Data!$E10="No", "N/A",IF(ISNUMBER(Data!$BN10),(46294-Data!$BN10),"TBD"))</f>
        <v>N/A</v>
      </c>
      <c r="M10" s="8" t="str">
        <f>'Metrics (Detailed)'!$F10</f>
        <v>0</v>
      </c>
      <c r="N10">
        <f>'Metrics (Detailed)'!$I10</f>
        <v>0</v>
      </c>
      <c r="O10">
        <f>IF(Data!$AF10="N/A",0,COUNT(Data!$AF10:'Data'!$AH10))</f>
        <v>0</v>
      </c>
      <c r="P10" t="s">
        <v>169</v>
      </c>
    </row>
    <row r="12" spans="1:16" ht="14.4" x14ac:dyDescent="0.3"/>
    <row r="13" spans="1:16" ht="14.4" x14ac:dyDescent="0.3"/>
    <row r="14" spans="1:16" ht="14.4" x14ac:dyDescent="0.3"/>
    <row r="15" spans="1:16" ht="14.4" x14ac:dyDescent="0.3">
      <c r="H15" s="9"/>
    </row>
    <row r="16" spans="1:16" ht="15" customHeight="1" x14ac:dyDescent="0.3">
      <c r="H16" s="5"/>
    </row>
  </sheetData>
  <mergeCells count="1">
    <mergeCell ref="A1:P1"/>
  </mergeCells>
  <dataValidations count="1">
    <dataValidation type="list" allowBlank="1" showInputMessage="1" showErrorMessage="1" sqref="P12:P1048576 P3:P10" xr:uid="{03BFDD07-A32C-473E-AA53-623E634F8413}">
      <formula1>"Approved,Completed,Completeness Review,Document Adopted/Certified,Draft Document Preparation,Final Document Preparation,Pending,Prefiling Support,Proposed Decision Input"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72FDBF08D394D82513CB6EDBAF460" ma:contentTypeVersion="26" ma:contentTypeDescription="Create a new document." ma:contentTypeScope="" ma:versionID="35256f4db16f11575b1245d0d05cd804">
  <xsd:schema xmlns:xsd="http://www.w3.org/2001/XMLSchema" xmlns:xs="http://www.w3.org/2001/XMLSchema" xmlns:p="http://schemas.microsoft.com/office/2006/metadata/properties" xmlns:ns2="59951001-8b6c-4d9b-8a47-3f637de67095" xmlns:ns3="9c8903b4-03ea-4cc2-8dfe-cfd2836b8558" targetNamespace="http://schemas.microsoft.com/office/2006/metadata/properties" ma:root="true" ma:fieldsID="c09292a5dd0119627cb2357a05468768" ns2:_="" ns3:_="">
    <xsd:import namespace="59951001-8b6c-4d9b-8a47-3f637de67095"/>
    <xsd:import namespace="9c8903b4-03ea-4cc2-8dfe-cfd2836b8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Notes" minOccurs="0"/>
                <xsd:element ref="ns2:LeadAnalyst" minOccurs="0"/>
                <xsd:element ref="ns2:Tier" minOccurs="0"/>
                <xsd:element ref="ns2:Disposition" minOccurs="0"/>
                <xsd:element ref="ns2:ProjectIdentifier" minOccurs="0"/>
                <xsd:element ref="ns2:UtilityCompany" minOccurs="0"/>
                <xsd:element ref="ns2:DispositionDate" minOccurs="0"/>
                <xsd:element ref="ns2:MediaServiceBillingMetadata" minOccurs="0"/>
                <xsd:element ref="ns2:Disposition0" minOccurs="0"/>
                <xsd:element ref="ns2:DateofDisposi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51001-8b6c-4d9b-8a47-3f637de67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58c64cc-ee56-435d-b6d0-239f1a5e0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LeadAnalyst" ma:index="24" nillable="true" ma:displayName="Lead Analyst" ma:format="Dropdown" ma:list="UserInfo" ma:SharePointGroup="0" ma:internalName="LeadAnaly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ier" ma:index="25" nillable="true" ma:displayName="Tier" ma:format="Dropdown" ma:internalName="Tier">
      <xsd:simpleType>
        <xsd:restriction base="dms:Text">
          <xsd:maxLength value="255"/>
        </xsd:restriction>
      </xsd:simpleType>
    </xsd:element>
    <xsd:element name="Disposition" ma:index="26" nillable="true" ma:displayName="Disposition" ma:format="Dropdown" ma:internalName="Disposition">
      <xsd:simpleType>
        <xsd:restriction base="dms:Text">
          <xsd:maxLength value="255"/>
        </xsd:restriction>
      </xsd:simpleType>
    </xsd:element>
    <xsd:element name="ProjectIdentifier" ma:index="27" nillable="true" ma:displayName="Project Identifier" ma:format="Dropdown" ma:internalName="ProjectIdentifier">
      <xsd:simpleType>
        <xsd:restriction base="dms:Text">
          <xsd:maxLength value="255"/>
        </xsd:restriction>
      </xsd:simpleType>
    </xsd:element>
    <xsd:element name="UtilityCompany" ma:index="28" nillable="true" ma:displayName="Utility Company" ma:format="Dropdown" ma:internalName="UtilityCompany">
      <xsd:simpleType>
        <xsd:restriction base="dms:Text">
          <xsd:maxLength value="255"/>
        </xsd:restriction>
      </xsd:simpleType>
    </xsd:element>
    <xsd:element name="DispositionDate" ma:index="29" nillable="true" ma:displayName="Disposition Date" ma:format="Dropdown" ma:internalName="DispositionDate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sition0" ma:index="31" nillable="true" ma:displayName="Disposition " ma:format="Dropdown" ma:internalName="Disposition0">
      <xsd:simpleType>
        <xsd:restriction base="dms:Text">
          <xsd:maxLength value="255"/>
        </xsd:restriction>
      </xsd:simpleType>
    </xsd:element>
    <xsd:element name="DateofDisposition" ma:index="32" nillable="true" ma:displayName="Date of Disposition" ma:format="Dropdown" ma:internalName="DateofDisposi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903b4-03ea-4cc2-8dfe-cfd2836b8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51859a-5bfc-40d0-9fda-8cc1a071b781}" ma:internalName="TaxCatchAll" ma:showField="CatchAllData" ma:web="9c8903b4-03ea-4cc2-8dfe-cfd2836b8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951001-8b6c-4d9b-8a47-3f637de67095">
      <Terms xmlns="http://schemas.microsoft.com/office/infopath/2007/PartnerControls"/>
    </lcf76f155ced4ddcb4097134ff3c332f>
    <TaxCatchAll xmlns="9c8903b4-03ea-4cc2-8dfe-cfd2836b8558" xsi:nil="true"/>
    <Notes xmlns="59951001-8b6c-4d9b-8a47-3f637de67095" xsi:nil="true"/>
    <Disposition xmlns="59951001-8b6c-4d9b-8a47-3f637de67095" xsi:nil="true"/>
    <Tier xmlns="59951001-8b6c-4d9b-8a47-3f637de67095" xsi:nil="true"/>
    <LeadAnalyst xmlns="59951001-8b6c-4d9b-8a47-3f637de67095">
      <UserInfo>
        <DisplayName/>
        <AccountId xsi:nil="true"/>
        <AccountType/>
      </UserInfo>
    </LeadAnalyst>
    <UtilityCompany xmlns="59951001-8b6c-4d9b-8a47-3f637de67095" xsi:nil="true"/>
    <DispositionDate xmlns="59951001-8b6c-4d9b-8a47-3f637de67095" xsi:nil="true"/>
    <ProjectIdentifier xmlns="59951001-8b6c-4d9b-8a47-3f637de67095" xsi:nil="true"/>
    <DateofDisposition xmlns="59951001-8b6c-4d9b-8a47-3f637de67095" xsi:nil="true"/>
    <Disposition0 xmlns="59951001-8b6c-4d9b-8a47-3f637de670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7A7938-B981-487A-874E-B27D9393E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951001-8b6c-4d9b-8a47-3f637de67095"/>
    <ds:schemaRef ds:uri="9c8903b4-03ea-4cc2-8dfe-cfd2836b8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0E874F-8923-406A-92B3-B67B2BC746A9}">
  <ds:schemaRefs>
    <ds:schemaRef ds:uri="http://schemas.microsoft.com/office/2006/metadata/properties"/>
    <ds:schemaRef ds:uri="http://schemas.microsoft.com/office/infopath/2007/PartnerControls"/>
    <ds:schemaRef ds:uri="59951001-8b6c-4d9b-8a47-3f637de67095"/>
    <ds:schemaRef ds:uri="9c8903b4-03ea-4cc2-8dfe-cfd2836b8558"/>
  </ds:schemaRefs>
</ds:datastoreItem>
</file>

<file path=customXml/itemProps3.xml><?xml version="1.0" encoding="utf-8"?>
<ds:datastoreItem xmlns:ds="http://schemas.openxmlformats.org/officeDocument/2006/customXml" ds:itemID="{8B0D9FB7-46B7-428F-B946-52F2E659FC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Metrics (Detailed)</vt:lpstr>
      <vt:lpstr>Metrics (High-Level)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Alexander, Tommy</dc:creator>
  <cp:keywords/>
  <dc:description/>
  <cp:lastModifiedBy>Alexander, Tommy</cp:lastModifiedBy>
  <cp:revision/>
  <dcterms:created xsi:type="dcterms:W3CDTF">2025-06-04T04:55:40Z</dcterms:created>
  <dcterms:modified xsi:type="dcterms:W3CDTF">2026-10-01T20:44:59Z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0x0101004DC72FDBF08D394D82513CB6EDBAF460</vt:lpwstr>
  </property>
  <property fmtid="{D5CDD505-2E9C-101B-9397-08002B2CF9AE}" pid="3" name="MediaServiceImageTags">
    <vt:lpwstr/>
  </property>
</Properties>
</file>