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sempra.sharepoint.com/teams/gassystemplanningoir/Shared Documents/28 - Ruling Requesting Data - Due 10-21-22/Updated Submittals/Final Submissions/"/>
    </mc:Choice>
  </mc:AlternateContent>
  <xr:revisionPtr revIDLastSave="30" documentId="8_{9771BADB-C72D-458E-8221-69A644956129}" xr6:coauthVersionLast="47" xr6:coauthVersionMax="47" xr10:uidLastSave="{3A1682F3-ED75-4BA9-8C09-E0EE8990C1C2}"/>
  <bookViews>
    <workbookView xWindow="-120" yWindow="-120" windowWidth="24240" windowHeight="13140" firstSheet="1" activeTab="2" xr2:uid="{95D870F7-99F0-4F48-82B2-627B7E1FC2CF}"/>
  </bookViews>
  <sheets>
    <sheet name="Distribution Costs &amp; Plans" sheetId="1" r:id="rId1"/>
    <sheet name="Program Specific" sheetId="2" r:id="rId2"/>
    <sheet name="Customer Data" sheetId="3" r:id="rId3"/>
  </sheets>
  <definedNames>
    <definedName name="_xlnm._FilterDatabase" localSheetId="0" hidden="1">'Distribution Costs &amp; Plans'!$A$1:$C$31</definedName>
    <definedName name="_xlnm.Print_Area" localSheetId="2">'Customer Data'!$A$1:$C$21</definedName>
    <definedName name="_xlnm.Print_Titles" localSheetId="0">'Distribution Costs &amp; Plans'!$1:$1</definedName>
    <definedName name="_xlnm.Print_Titles" localSheetId="1">'Program Specific'!$2:$2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1" i="1" l="1"/>
  <c r="J31" i="1"/>
  <c r="I31" i="1"/>
  <c r="H31" i="1"/>
  <c r="G31" i="1"/>
  <c r="F31" i="1" l="1"/>
  <c r="E31" i="1"/>
  <c r="D31" i="1"/>
  <c r="D9" i="1"/>
  <c r="D10" i="1"/>
  <c r="E10" i="1"/>
  <c r="E9" i="1"/>
  <c r="K20" i="1"/>
  <c r="J20" i="1"/>
  <c r="I20" i="1"/>
  <c r="F20" i="1"/>
  <c r="E20" i="1"/>
  <c r="D20" i="1"/>
  <c r="K18" i="1"/>
  <c r="J18" i="1"/>
  <c r="F18" i="1"/>
  <c r="E18" i="1"/>
  <c r="D18" i="1"/>
  <c r="I18" i="1"/>
  <c r="F26" i="1" l="1"/>
  <c r="E26" i="1"/>
  <c r="D26" i="1"/>
  <c r="D28" i="1"/>
  <c r="F27" i="1"/>
  <c r="E27" i="1"/>
  <c r="D27" i="1"/>
  <c r="K12" i="1"/>
  <c r="J12" i="1"/>
  <c r="I12" i="1"/>
  <c r="K11" i="1"/>
  <c r="J11" i="1"/>
  <c r="I11" i="1"/>
  <c r="F12" i="1" l="1"/>
  <c r="E12" i="1"/>
  <c r="D12" i="1"/>
  <c r="F11" i="1"/>
  <c r="E11" i="1"/>
  <c r="D11" i="1"/>
  <c r="F29" i="1"/>
  <c r="E29" i="1"/>
  <c r="D29" i="1"/>
  <c r="F28" i="1"/>
  <c r="E28" i="1"/>
  <c r="B27" i="1" l="1"/>
  <c r="B26" i="1"/>
  <c r="B20" i="1"/>
  <c r="B18" i="1"/>
  <c r="B12" i="1"/>
  <c r="B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Song, Ik</author>
  </authors>
  <commentList>
    <comment ref="C10" authorId="0" shapeId="0" xr:uid="{CEE5DF07-5DB7-4359-BFCB-DA86786BD415}">
      <text>
        <r>
          <rPr>
            <b/>
            <sz val="9"/>
            <color indexed="81"/>
            <rFont val="Tahoma"/>
            <charset val="1"/>
          </rPr>
          <t>Song, Ik:</t>
        </r>
        <r>
          <rPr>
            <sz val="9"/>
            <color indexed="81"/>
            <rFont val="Tahoma"/>
            <charset val="1"/>
          </rPr>
          <t xml:space="preserve">
2019 - 78 miles of mains and assocaiated services</t>
        </r>
      </text>
    </comment>
    <comment ref="D10" authorId="0" shapeId="0" xr:uid="{43217C05-1196-46ED-931C-848BAEF63973}">
      <text>
        <r>
          <rPr>
            <b/>
            <sz val="9"/>
            <color indexed="81"/>
            <rFont val="Tahoma"/>
            <charset val="1"/>
          </rPr>
          <t>Song, Ik:</t>
        </r>
        <r>
          <rPr>
            <sz val="9"/>
            <color indexed="81"/>
            <rFont val="Tahoma"/>
            <charset val="1"/>
          </rPr>
          <t xml:space="preserve">
2019 - 29 miles of mains and assocaiated services</t>
        </r>
      </text>
    </comment>
    <comment ref="I16" authorId="0" shapeId="0" xr:uid="{F8C60B9B-A6A7-4535-9588-FA95227E803A}">
      <text>
        <r>
          <rPr>
            <sz val="11"/>
            <color theme="1"/>
            <rFont val="Calibri"/>
            <family val="2"/>
            <scheme val="minor"/>
          </rPr>
          <t>Song, Ik:
based on budget code 254 only; 259 data not extractable due to volume</t>
        </r>
      </text>
    </comment>
  </commentList>
</comments>
</file>

<file path=xl/sharedStrings.xml><?xml version="1.0" encoding="utf-8"?>
<sst xmlns="http://schemas.openxmlformats.org/spreadsheetml/2006/main" count="1060" uniqueCount="311">
  <si>
    <t>GRC Distribution Pipeline General Costs and Plans Information</t>
  </si>
  <si>
    <t>Response</t>
  </si>
  <si>
    <t>Notes</t>
  </si>
  <si>
    <t>Updated Response
2019 (Historical)</t>
  </si>
  <si>
    <t>Updated Response
2020 (Historical)</t>
  </si>
  <si>
    <t>Updated Response
2021 (Historical)</t>
  </si>
  <si>
    <t>Updated Response
2022 (TY2019 GRC)</t>
  </si>
  <si>
    <t>Updated Response
2023 (TY2019 GRC)</t>
  </si>
  <si>
    <t>Updated Response
2022 (TY2024 GRC)</t>
  </si>
  <si>
    <t>Updated Response
2023 (TY2024 GRC)</t>
  </si>
  <si>
    <t>Updated Response
2024 (TY2024 GRC)</t>
  </si>
  <si>
    <t>Notes (Updated)</t>
  </si>
  <si>
    <t>Most Recent GRC proceeding name</t>
  </si>
  <si>
    <t>2019 General Rate Case</t>
  </si>
  <si>
    <t xml:space="preserve"> </t>
  </si>
  <si>
    <t>Most Recent GRC proceeding number</t>
  </si>
  <si>
    <t>A.17-10-008</t>
  </si>
  <si>
    <t>Most Recent GRC proceeding years covered, starting with test year</t>
  </si>
  <si>
    <t>2019 - 2023</t>
  </si>
  <si>
    <t>Open or Upcoming GRC proceeding name if any</t>
  </si>
  <si>
    <t>2024 General Rate Case</t>
  </si>
  <si>
    <t>Open or Upcoming GRC proceeding number if any</t>
  </si>
  <si>
    <t>A.22-05-015</t>
  </si>
  <si>
    <t>Open or Upcoming GRC proceeding years covered, starting with test year</t>
  </si>
  <si>
    <t>2024 - 2027</t>
  </si>
  <si>
    <t>Total distribution main miles owned by the utility</t>
  </si>
  <si>
    <t xml:space="preserve">Based on the Annual 2021 Department of Transportation (DOT) Report </t>
  </si>
  <si>
    <t>NA</t>
  </si>
  <si>
    <t>Annual DOT report unavailable for 2022, 2023, and 2024</t>
  </si>
  <si>
    <t>Total distribution service miles owned by the utility</t>
  </si>
  <si>
    <t xml:space="preserve">Based on the Annual 2021 DOT Report </t>
  </si>
  <si>
    <t>Average length of service pipeline (miles per service)</t>
  </si>
  <si>
    <t>Total distribution main pipeline miles to be replaced per year</t>
  </si>
  <si>
    <t>The question is stated as "to be replaced." SoCalGas's TY2019 GRC did not provide specific mileage forecasts; however, a value based on historical data for 2019 - 2021 has been provided.</t>
  </si>
  <si>
    <r>
      <t xml:space="preserve">Values are based on the </t>
    </r>
    <r>
      <rPr>
        <i/>
        <sz val="11"/>
        <color rgb="FF000000"/>
        <rFont val="Calibri"/>
        <family val="2"/>
        <scheme val="minor"/>
      </rPr>
      <t>Main Replacements</t>
    </r>
    <r>
      <rPr>
        <sz val="11"/>
        <color rgb="FF000000"/>
        <rFont val="Calibri"/>
        <family val="2"/>
        <scheme val="minor"/>
      </rPr>
      <t xml:space="preserve"> workpaper in the Gas Distribution witness area and does not include miles to be replaced under other refundable and non-refundable programs outside of the GRC.
The authorized amounts from the TY2019 do not have authorized units (i.e. authorized miles).</t>
    </r>
  </si>
  <si>
    <t>Total distribution service pipeline miles to be replaced per year</t>
  </si>
  <si>
    <r>
      <t xml:space="preserve">Values are based on the </t>
    </r>
    <r>
      <rPr>
        <i/>
        <sz val="11"/>
        <color rgb="FF000000"/>
        <rFont val="Calibri"/>
        <family val="2"/>
        <scheme val="minor"/>
      </rPr>
      <t>Service Replacements</t>
    </r>
    <r>
      <rPr>
        <sz val="11"/>
        <color rgb="FF000000"/>
        <rFont val="Calibri"/>
        <family val="2"/>
        <scheme val="minor"/>
      </rPr>
      <t xml:space="preserve"> workpaper in the Gas Distribution witness area and does not include miles to be replaced under other refundable and non-refundable programs outside of the GRC.
The authorized amounts from the TY2019 do not have authorized units (i.e. authorized miles).</t>
    </r>
  </si>
  <si>
    <t>Total distribution main pipeline miles to be added per year</t>
  </si>
  <si>
    <t>The question is stated as "to be added." SoCalGas's TY2019 GRC did not provide specific mileage forecasts; however, a value based on historical data for 2019 - 2021 has been provided.</t>
  </si>
  <si>
    <t>In the TY2019 and the TY2024 GRCs, new construction of main and services are forecasted based on the number of new meters as the unit of measure, and thus, main pipeline to be added is not forecasted nor authorized under the TY2024 and the TY2019 GRCs.</t>
  </si>
  <si>
    <t>Total distribution service pipeline miles to be added per year</t>
  </si>
  <si>
    <t>Number of new regulator stations to be built during GRC period</t>
  </si>
  <si>
    <t>Based on 2019 - 2021 historical unit (17) and 2022 - 2023 forecast unit (15)</t>
  </si>
  <si>
    <t>While the number of new regulator stations is not forecasted in the TY2024 GRC, the values in 2022 and 2023 are based on known projects that Gas Distribution is planning. There are no known projects scheduled for 2024.</t>
  </si>
  <si>
    <t>Number of regulator stations to be replaced during GRC period</t>
  </si>
  <si>
    <r>
      <t xml:space="preserve">Based on 2019 - 2021 historical unit (29) and </t>
    </r>
    <r>
      <rPr>
        <sz val="11"/>
        <rFont val="Calibri"/>
        <family val="2"/>
        <scheme val="minor"/>
      </rPr>
      <t>2022 - 2023 forecast unit (42)</t>
    </r>
  </si>
  <si>
    <t>The quantities of regulator stations to be replaced in 2022 and 2023 include quantities to be replaced under RAMP in the TY2024 forecast as well as known projects.</t>
  </si>
  <si>
    <t>Number of regulator stations to be repaired/upgraded during GRC period</t>
  </si>
  <si>
    <t xml:space="preserve">Based on 2019 - 2021 historical unit (26) and 2022 - 2023 forecast unit (18) as well as Control Center Modernization Work: (66) sites for upgrade in 2022 - 2024 </t>
  </si>
  <si>
    <t xml:space="preserve">The quantity of regulator stations to be repaired/upgraded was not forecasted and authorized in the TY2019 GRC.
The quantity of regulator stations to be repaired/upgraded in the TY2024 GRC includes the Control Center Modernization sites as well as known projects for 2022 and 2023. </t>
  </si>
  <si>
    <t>Average cost per mile to replace distribution pipeline (mains and services)</t>
  </si>
  <si>
    <r>
      <t xml:space="preserve">Blended average used.  
Base Distribution:  </t>
    </r>
    <r>
      <rPr>
        <sz val="11"/>
        <rFont val="Calibri"/>
        <family val="2"/>
        <scheme val="minor"/>
      </rPr>
      <t>($141.21 per foot, direct)</t>
    </r>
    <r>
      <rPr>
        <sz val="11"/>
        <color theme="1"/>
        <rFont val="Calibri"/>
        <family val="2"/>
        <scheme val="minor"/>
      </rPr>
      <t xml:space="preserve">
DIMP DREAMS:  based on 2019 - 2021 historical,  Main Work Type ($125.33 per foot)</t>
    </r>
  </si>
  <si>
    <t>Average cost per mile to replace distribution main pipeline</t>
  </si>
  <si>
    <t>Cost is not tracked by main only in the GRC; main projects have a single cost that consists of main and service work</t>
  </si>
  <si>
    <t>Average cost per mile to replace distribution service pipeline</t>
  </si>
  <si>
    <r>
      <t xml:space="preserve">Base Distribution:
based on 2019 - 2021 historical, ($89.01 per foot, direct) 
DIMP DREAMS:
based on 2019 - 2021 historical, </t>
    </r>
    <r>
      <rPr>
        <sz val="11"/>
        <rFont val="Calibri"/>
        <family val="2"/>
        <scheme val="minor"/>
      </rPr>
      <t xml:space="preserve"> </t>
    </r>
    <r>
      <rPr>
        <sz val="11"/>
        <color theme="1"/>
        <rFont val="Calibri"/>
        <family val="2"/>
        <scheme val="minor"/>
      </rPr>
      <t xml:space="preserve">($125.33 per foot, direct) </t>
    </r>
  </si>
  <si>
    <t>Average cost per mile to replace distribution main pipeline with diameter of 2” or less</t>
  </si>
  <si>
    <t>N/A</t>
  </si>
  <si>
    <t>Cost is not tracked by pipeline size in the GRC</t>
  </si>
  <si>
    <t>Larger pipe size would typically have a higher cost per mile due to the cost of material as well as labor. Larger pipes typically require wider and deeper trenches as well as additional labor for pipe handling and installation.</t>
  </si>
  <si>
    <t>Average cost per mile to replace distribution main pipeline with diameter over 2” through 4”</t>
  </si>
  <si>
    <t>Average cost per mile to replace distribution main pipeline with diameter over 4” through 8”</t>
  </si>
  <si>
    <t xml:space="preserve">Cost is not tracked by pipeline size in the GRC </t>
  </si>
  <si>
    <t>Average cost per mile to replace distribution main pipeline with diameter over 8” through 12”</t>
  </si>
  <si>
    <t>Average cost per mile to replace distribution pipeline with diameter over 12”</t>
  </si>
  <si>
    <t>Average cost per mile to install new distribution main pipeline</t>
  </si>
  <si>
    <t>Based on 2019 - 2021 historical,  ($12.38 per foot, direct); this includes main and service footages of the orders</t>
  </si>
  <si>
    <t>In the TY2019 and the TY2024 GRCs, new construction of main and services are forecasted based on the number of new meters as the unit of measure, and thus, main pipeline to be added is not forecasted nor authorized under the TY2024 and the TY2019 GRCs.  Therefore, the cost per mile to install new distribution main for the 2022-2024 period is not available.</t>
  </si>
  <si>
    <t>Average cost per mile to install new distribution service pipeline</t>
  </si>
  <si>
    <t>Based on 2019 - 2021 historical, ($42.12 per foot, direct)</t>
  </si>
  <si>
    <t>In the TY2019 and the TY2024 GRCs, new construction of main and services are forecasted based on the number of new meters as the unit of measure, and thus, main pipeline to be added is not forecasted nor authorized under the TY2024 and the TY2019 GRCs.  Therefore, the cost per mile to install new distribution service for the 2022-2024 period is not available.</t>
  </si>
  <si>
    <t>Average cost of new regulator station or regulator station replacement</t>
  </si>
  <si>
    <t xml:space="preserve">Based on 2019 - 2021 historical direct cost and unit </t>
  </si>
  <si>
    <t>Labor: 21525 Non-Labor: 193725</t>
  </si>
  <si>
    <t>2022 - 2024 values are based on an average cost of regulator station replacement in the TY2024 GRC.</t>
  </si>
  <si>
    <t>Average cost of regulator station repair/upgrade (excluding whole station replacement)</t>
  </si>
  <si>
    <t xml:space="preserve">Based on 2019 - 2021 historical direct cost and unit
</t>
  </si>
  <si>
    <t>The average cost of regulator station repair/upgrade is not forecasted nor authorized separately in the TY2019 and the TY2024 GRCs.</t>
  </si>
  <si>
    <t>Total gas distribution system costs per year</t>
  </si>
  <si>
    <t>$301,934,000 (2019), $365,616,000 (2020), $383,760,000 (2021), $335,659,000 (2022), $342,815,000 (2023)</t>
  </si>
  <si>
    <t>Based on 2019 - 2021 Risk Spend Accountability Report values (2021 not finalized); 2022 - 2023 values reflect the authorized amt from the TY2019 GRC</t>
  </si>
  <si>
    <t>Capital: $301,934,000 
O&amp;M: $139,780,000</t>
  </si>
  <si>
    <t>Capital: $365,616,000 
O&amp;M: $154,026,000</t>
  </si>
  <si>
    <t>Capital: $374,031,000 
O&amp;M: $172,556,000</t>
  </si>
  <si>
    <t>Capital: $335,659,000 
O&amp;M: $165,860,000</t>
  </si>
  <si>
    <t>Capital: $342,815,000 
O&amp;M: $169,674,000</t>
  </si>
  <si>
    <t>Capital: $388,786,000 
O&amp;M: $169,599,000</t>
  </si>
  <si>
    <t>Capital: $413,355,000 
O&amp;M: $165,221,000</t>
  </si>
  <si>
    <t>Capital: $391,525,000 
O&amp;M: $168,427,000</t>
  </si>
  <si>
    <t>2019 - 2021: RSAR
2022 - 2023 (TY2019): TY 2019 GRC Authorized
2022 - 2024 (TY2024): TY 2024 GRC Forecast</t>
  </si>
  <si>
    <t>Total gas distribution system costs per distribution mains and services pipeline miles per year</t>
  </si>
  <si>
    <r>
      <t xml:space="preserve">For 2022 - 2024, the </t>
    </r>
    <r>
      <rPr>
        <b/>
        <i/>
        <sz val="11"/>
        <color rgb="FF000000"/>
        <rFont val="Calibri"/>
        <family val="2"/>
        <scheme val="minor"/>
      </rPr>
      <t>Total gas distribution system costs per year</t>
    </r>
    <r>
      <rPr>
        <sz val="11"/>
        <color rgb="FF000000"/>
        <rFont val="Calibri"/>
        <family val="2"/>
        <scheme val="minor"/>
      </rPr>
      <t xml:space="preserve"> was divided by the </t>
    </r>
    <r>
      <rPr>
        <b/>
        <i/>
        <sz val="11"/>
        <color rgb="FF000000"/>
        <rFont val="Calibri"/>
        <family val="2"/>
        <scheme val="minor"/>
      </rPr>
      <t>2021 total distribution main miles owned by the utility</t>
    </r>
    <r>
      <rPr>
        <i/>
        <sz val="11"/>
        <color rgb="FF000000"/>
        <rFont val="Calibri"/>
        <family val="2"/>
        <scheme val="minor"/>
      </rPr>
      <t xml:space="preserve"> </t>
    </r>
    <r>
      <rPr>
        <sz val="11"/>
        <color rgb="FF000000"/>
        <rFont val="Calibri"/>
        <family val="2"/>
        <scheme val="minor"/>
      </rPr>
      <t xml:space="preserve">and </t>
    </r>
    <r>
      <rPr>
        <b/>
        <i/>
        <sz val="11"/>
        <color rgb="FF000000"/>
        <rFont val="Calibri"/>
        <family val="2"/>
        <scheme val="minor"/>
      </rPr>
      <t>2021 total distribution service miles owned by the utility.</t>
    </r>
  </si>
  <si>
    <t>GRC Distribution System Plans and Risks Information by Replacement Program</t>
  </si>
  <si>
    <t>Program Information</t>
  </si>
  <si>
    <t>Program Name</t>
  </si>
  <si>
    <t>Vinage Integrity Plastic Plan</t>
  </si>
  <si>
    <t>Bare Steel Replacement Plan</t>
  </si>
  <si>
    <t>New Business Construction</t>
  </si>
  <si>
    <t>Pressure Betterments</t>
  </si>
  <si>
    <t>Main Replacements</t>
  </si>
  <si>
    <t>Service Replacements</t>
  </si>
  <si>
    <t>Main and Service Abandonments</t>
  </si>
  <si>
    <t>Regulator Stations</t>
  </si>
  <si>
    <t>Control Center Modernization</t>
  </si>
  <si>
    <t>Cathodic Protection (CP) Capital</t>
  </si>
  <si>
    <t>Pipeline Relocations -- Freeway</t>
  </si>
  <si>
    <t>Pipeline Relocations -- Franchise</t>
  </si>
  <si>
    <t>Meter Protection</t>
  </si>
  <si>
    <t>Other Distribution Capital Projects</t>
  </si>
  <si>
    <t>Measurement and Regulation Devices</t>
  </si>
  <si>
    <t>Capital Tools</t>
  </si>
  <si>
    <t>Remote Meter Reading</t>
  </si>
  <si>
    <t>Activities listed in Columns E to S are base distribution activities under the Gas Distribution witness area in the TY2024 GRC.  While most these categories are not specific programs that have identified pipelines nor assets by risk scores nor probabilities of failure, SoCalGas is adding these to this data request to reflect all distribution pipeline or regulator station repair or replacement.</t>
  </si>
  <si>
    <t>Program Goal</t>
  </si>
  <si>
    <t>Program and tool developed and managed as part of the DIMP which is used to prioritize risk mitigation on early vintage plastic. Plastic pipe manufactured and used for gas service from the 1960s through the early 1980s exhibits a brittle-like cracking characteristic that could cause a leak to grow and release additional natural gas than would otherwise be released.</t>
  </si>
  <si>
    <t>Program and tool developed and managed as part of the DIMP which is used to prioritize risk mitigation on early vintage plastic. Plastic pipe manufactured and used for gas service from the 1960s through the early 1980s exhibits a brittle-like cracking characteristic that could cause a leak to grow and release  additional natural gas than would otherwise be released.</t>
  </si>
  <si>
    <t>This work category provides for changes and additions to the existing gas distribution system to connect new residential, commercial, and industrial customers. The activities of this category include installation of gas mains and services, meter set assemblies, regulator stations and the associated facilities necessary to provide service to new customers. The activities contained in New Business are necessary to provide a safe and reliable gas distribution system. These costs are being incurred in response to SoCalGas's obligation to serve the growing customer base.</t>
  </si>
  <si>
    <t>This work category records expenditure for gas distribution pressure betterment projects performed on an ongoing basis to maintain system reliability and service to all customers. Pressure Betterment projects are performed in areas where there is an anticipated insufficient capacity or pressure to meet the growth in load . Pressure Betterment projects maintain 
reliable service to existing customers as new load is added to the gas distribution system. Once a pipeline system is designed and installed, the available capacity remains relatively fixed. However, as load increases due to population expansion and increased population density, as well as businesses coming online with added load, the existing pipeline pressure decreases, which reduces the available gas flow capacity. If the diminishing pressure is not addressed, gas 
service to the customers could be interrupted.</t>
  </si>
  <si>
    <t>This work category includes expenditures to replace distribution mainlines. Some of the major drivers for these replacement projects include deteriorating pipe conditions, risk to the public, and increased maintenance costs. Leakage is often the driving factor for pipeline replacements; however, there are other considerations. Other factors are identified from information collected from various O&amp;M activities and field observations. Other criteria taken into consideration are whether the steel pipe meets cathodic protection mandates, or the main is found to have active corrosion. In addition, the pipeline may be deemed unsafe or unfit for service under pressure due to manufacturing or other defects. Leak history and pending leaks on individual segments is the primary factor in qualifying the majority of SoCalGas’s main replacements. These replacements are critical to sustain operational reliability and public safety.</t>
  </si>
  <si>
    <t>Service replacements represented in this category include expenditures specific to the replacement of isolated distribution service pipelines to maintain system reliability and to safely deliver gas to the customer, thus mitigating the risks associated with loss of service and public safety. Services are replaced by two construction methods, “insertion” and "direct bury". With the insertion method, a new plastic replacement service pipe is inserted into the to-be abandoned steel service pipe such that the steel service becomes casing for the plastic pipe. The direct bury technique specifies to the construction crews that the installation of new pipe does not need casing, and any installation method can be utilized such as boring or open trench. There are many reasons for service replacements. It could be replaced because a large leak occurred or has a significant number of past leaks. Steel services in particular get replaced when active corrosion is found or when a leak is found on a non-cathodically protected steel service. During maintenance activities, it is possible to encounter services containing obsolete material such as cellulose, acetate butyrate or polyvinyl chloride which will prompt the service to be replaced. Services may also be replaced when the makeup of the service is found to contain Aldyl -A material. These replacements are critical to sustain operational reliability and public safety, especially since these laterals enter into private property.</t>
  </si>
  <si>
    <t>This work category includes expenditures associated with the abandonment of distribution pipeline mains and services without the installation of new pipeline to replace the old. The activities contained in main and service abandonments are necessary to eliminate the risk that may result from a hazardous condition due to the potential for third party damage, and to eliminate unnecessary continued maintenance activities. The main abandonments are typically driven by city and state requests involving the vacating and demolition of public property at which point there is no opportunity for replacement. Service abandonments are driven by customers 
requesting cancellation of gas service due to building demolitions, or to terminate a temporary service.</t>
  </si>
  <si>
    <t>Represented in this work category are expenditures for the construction of new installations, relocations, replacements, and abandonment of distribution regulator stations.  Regulator Stations are key assemblies of control equipment on the SoCalGas pipeline system. They are installed to 
reduce the pressure of gas from high-pressure pipelines to provide the lower pressures used on the distribution pipeline system, which provides steady operating conditions to the customers. These stations consist of pipes, electronics, valves and regulators, which are installed in either below-ground vaults or above-ground fenced facilities, and in some instance inside specially built housing. These stations serve not only to control gas pressure but also as a line of defense against 
over-pressurization. Many of the modern stations are designed with dual run feeds to maintain continued operation of the station in the event of a failure within either of the two runs.</t>
  </si>
  <si>
    <t>The purpose of the Control Center Modernization (CCM) project is to construct a new modernized Gas Control facility which will include advanced technology and be sized to accommodate the expanding workforce needed to monitor, maintain, and respond to data transmitted by the over 9,800 new and existing field assets and incidents on a continuous 24/7 basis. The costs detailed in this section are related to the field assets that will be deployed on the SoCalGas distribution system and the enhanced technology platform that will strengthen Gas Control's situational awareness, data analytics, forecasting, visibility, and responsiveness to the overall system.</t>
  </si>
  <si>
    <t>This work category includes the capital expenditures associated with the installation of cathodic protection equipment used to preserve the integrity of steel pipelines by protecting them from external corrosion. These projects are in compliance with federal and state pipeline safety regulations and provides for proper cathodic protection on company facilities. Typical projects for this workgroup include the capital expenditures associated with the installation of new and replacement cathodic protection stations and applying cathodic protection to existing steel mains and service lines. This includes the additions of new rectifier (impressed current) sites along with the associated anode installations, including the necessary cathodic protection instrumentation and remote monitoring equipment; shallow well and deep well anode bed replacements for existing rectified systems; as well as installation and replacement of larger surface bed magnesium anode systems.</t>
  </si>
  <si>
    <t>Freeway work in SoCalGas is driven by external agencies, Such as the California Department of Transportation (CalTrans). These agencies submit requests for SoCalGas to relocate pipe that would, in its current location, interfere with planned construction or reconstruction of freeways. The work in this category includes expenditures associated with relocating or altering SoCalGas facilities in response to these external requests, as specified under the provisions of agency 
agreements, including SoCalGas's Caltrans Master Agreement.</t>
  </si>
  <si>
    <t>Franchise work in SoCalGas is driven by external agencies such as the cities, counties, or state. These agencies submit requests for SoCalGas to relocate pipe that would, in its current location, interfere with the construction or reconstruction of streets and other public works projects. The work in this category includes expenditures associated with relocating or altering SoCalGas facilities in response to these external requests, as specified under the provisions of SoCalGas's 
franchise agreements with city, county, or state agencies.</t>
  </si>
  <si>
    <t>Meter guards are installed to protect the meter set assemblies at existing customer locations from vehicular traffic in accordance with CPUC General Order 112-F and 49 CFR 192.353(a). The meter guards are installed at targeted sites, where meter set assembly location and/or design warrants consideration of traffic patterns and exposure to other potential sources of impact damage.</t>
  </si>
  <si>
    <t>This work category covers the expenditures for capital relocations of SoCalGas facilities not specifically included in any of the other capital categories of work. It covers collectible and non-collectible construction projects not covered under the franchise agreements, and not related to freeway work, and not covered in other capital budget categories. These facility relocation projects include all sizes of distribution main and associated service lines, meter set assemblies 
and related gas facilities. Examples of these projects include, but are not limited to: Replacement or alteration and abandonment of appurtenance to mains such as valves and vaults, drips, traps, roads, and fences due to condition in order to maintain the reliable operation of the distribution system. Raising, lowering or relocating main due to interference with external party construction. Changes to Company facilities at customer request. This could include items such as alteration or relocation of main or meter set assemblies; installation of customer exclusively used mains, or moving or relocating regulator stations. Changes to SoCalGas facilities in accordance with right-of-way agreements, encroachment permits, and railroad crossing lease agreements.</t>
  </si>
  <si>
    <t>Meters are purchased for two primary purposes: new business installations and meter replacements. These purchases and the subsequent installations enable accurate billing, reliability, and continued safe and reliable service to customers. The expenditures included here are for materials, warehouse handling, technical evaluations, and quality assurance. A meter is the device that measures the customer's gas consumption. Meter types purchased within this budget code include diaphragm, rotary, turbine, and ultrasonic. Meters are grouped into two sizing groups, where the small and medium size meters are referred to as "size 1 through 3" meters, and the other being the large size meters referred to as "size 4 and above" meters. Size 1 through 3 meters are typical of residential and small commercial customers. The size 4 and above are typical of large commercial and industrial customers.</t>
  </si>
  <si>
    <t>This work category includes expenditures associated with the purchase of capital tools and equipment used by distribution field personnel for the maintenance and repair of gas pipeline systems. The main driver of this plant category is the need to replace existing tools that are broken, outdated, or have outlived their useful lives. In addition, SoCalGas invests in new 
tools that provide innovative ways of completing the construction, maintenance and repair of its facilities in order to lessen customer disruptions and improve construction safety. This workpaper covers routine capital tool and equipment purchases.</t>
  </si>
  <si>
    <t>This work category includes expenditures associated with the installation and replacement of Data Collector Units (DCUs) and the necessary equipment to provide advanced metering infrastructure (AMI) network. The main driver of this category is the network reliability for accurate meter reading. As new homes and communities are constructed, the Data Collector Unit (DCU) footprint required to collect and transmit meter reading data will continue to expand. SoCalGas currently has approximately 4,600 DCUs across the service territory to provide AMI network coverage for the Company’s nearly six-million meters. The installation of DCUs includes performing land acquisition, processing, and submitting ministerial and coastal commission permits in public right of way (PROW), utility easements, new pole and co-location construction, and commissioning DCUs.</t>
  </si>
  <si>
    <t>Main Program Data Source</t>
  </si>
  <si>
    <t xml:space="preserve">Data is collected through operational maintenance and inspection activities, primarily though the completion of leak repair orders.  GIS is primarily used to utilized to identify pipeline attribute information and to create the relationships between the leak records and pipeline assets.  </t>
  </si>
  <si>
    <t>Requests are submitted by customers and applicants requesting gas service. Depending on various factors, including but not limited to, the location, the requested load, the equipment, etc., the scope of the project is determined.</t>
  </si>
  <si>
    <t>To determine the areas that require pressure betterments, information is gathered from the customers, builders, city, county, and state agencies. In addition, SoCalGas collects data from electronic pressure recorders. Based on the analysis of these constraints, local distribution engineers identify specific pressure betterment projects and the estimated timing in which the projects will need to be constructed. These projects typically involve replacing or installing new mains, and when necessary, uprating existing mains to higher pressures.</t>
  </si>
  <si>
    <t>Data is collected through operational maintenance and inspection activities.</t>
  </si>
  <si>
    <t xml:space="preserve">Main abandonments are typically driven by requests from a city and or the state that involve the vacating and demolition of public property, at which point, there is no opportunity for replacement. Service lines are deactivated upon cancellation of gas service due to building demolition, or when temporary service is terminated. When a service line becomes inactive, it is evaluated to determine if it will be left in place or abandoned. </t>
  </si>
  <si>
    <t xml:space="preserve">DRS:
•	Project specific Site Selection and tracking repository
•	P6 project scheduling and reporting database
•	Project Specific Line Item accounting and invoice tracking report
•	Project Specific Work Order Authorization tracking database
•	Vendor/Supplier tracking and reporting database
</t>
  </si>
  <si>
    <t>Requests are submitted by external agencies for relocation.</t>
  </si>
  <si>
    <t>Data is collected through operational maintenance and inspection activities, and requests are submitted by external agencies for relocation.</t>
  </si>
  <si>
    <t>Data is collected through operational maintenance and inspection activities as well as new business requests.</t>
  </si>
  <si>
    <t>Materials of pipelines covered by program</t>
  </si>
  <si>
    <t>Early vintage plastic manufactured by Dupont with the moniker Aldyl-A</t>
  </si>
  <si>
    <t>Steel lacking cathodic protection</t>
  </si>
  <si>
    <t>Plastic and Steel</t>
  </si>
  <si>
    <t>Steel</t>
  </si>
  <si>
    <t>Ages of pipelines covered by program</t>
  </si>
  <si>
    <t>Installed from 1969 to 1985</t>
  </si>
  <si>
    <t>Installed prior to 1972</t>
  </si>
  <si>
    <t>New pipeline</t>
  </si>
  <si>
    <t>Any existing pipeline</t>
  </si>
  <si>
    <t>Any existing regulator station</t>
  </si>
  <si>
    <t>Any existing steel pipeline</t>
  </si>
  <si>
    <t>Any existing meter</t>
  </si>
  <si>
    <t>Any existing meter and regulator</t>
  </si>
  <si>
    <t>Any existing tool</t>
  </si>
  <si>
    <t>Any existing remote meter reading asset</t>
  </si>
  <si>
    <t>Program includes mains, services or both?</t>
  </si>
  <si>
    <t>Mains and associated services</t>
  </si>
  <si>
    <t>Both</t>
  </si>
  <si>
    <t>Mains</t>
  </si>
  <si>
    <t>Services</t>
  </si>
  <si>
    <t xml:space="preserve">Program and risk tool targets mains for replacements but connected services can be replaced as a result of the main replacement.  </t>
  </si>
  <si>
    <t>GRC MAT Code (Budget Code)</t>
  </si>
  <si>
    <t>151-161, 165, 166, 239</t>
  </si>
  <si>
    <t>252, 253, 255, 267, 278</t>
  </si>
  <si>
    <t>256, 257, 258, 260</t>
  </si>
  <si>
    <t>254, 259</t>
  </si>
  <si>
    <t>173, 263, 273</t>
  </si>
  <si>
    <t>261, 268</t>
  </si>
  <si>
    <t>262, 269, 271, 272</t>
  </si>
  <si>
    <t>270, 274, 275, 290, 901, 906</t>
  </si>
  <si>
    <t>163, 164, 180, 181, 280, 281</t>
  </si>
  <si>
    <t>713, 715, 725, 727, 729</t>
  </si>
  <si>
    <t>168, 182</t>
  </si>
  <si>
    <t>Progam Forecasts</t>
  </si>
  <si>
    <t>Pipelines miles with known locations to be replaced by program during years covered by most recent GRC, per year</t>
  </si>
  <si>
    <t>2024 GRC - APP, Capital Workpapers (SCG/GAS INTEGRITY PROGRAMS/Exh No:SCG-09-CWP):
2022 - 104
2023 - 111
2024 - 136</t>
  </si>
  <si>
    <t xml:space="preserve">2024 GRC - APP, Capital Workpapers (SCG/GAS INTEGRITY PROGRAMS/Exh No:SCG-09-CWP):
2022 - 40
2023 - 30
2024 - 10
		</t>
  </si>
  <si>
    <t xml:space="preserve">GRC authorized the requested miles identified for 2019 and testimony identified subsequent increases will be made for the next 6-8 years.  </t>
  </si>
  <si>
    <t>Pipelines Miles with Locations Yet to be Determined to be Replaced by Program During Years Covered by Most recent GRC per year</t>
  </si>
  <si>
    <t xml:space="preserve">Miles to be replaced are identified by the planning team based on most current risk results in the several months preceeding the start of a given year. </t>
  </si>
  <si>
    <t>Total Pipeline Miles or Count of Regulator Stations to be Replaced by Program During Years Covered by most recent GRC per year</t>
  </si>
  <si>
    <t>2019 - 292 miles of main 
2020 - 1175 miles of main 
2021 - 246 miles of main
2022 (TY2024 forecast) - NA
2023 (TY2024 forecast) - NA
2024 (TY2024 forecast) - NA</t>
  </si>
  <si>
    <t>2019 - 5.5 miles of main 
2020 - 7.8 miles of main 
2021 - 10.2 miles of main
2022 (TY2024 forecast) - NA
2023 (TY2024 forecast) - NA
2024 (TY2024 forecast) - NA</t>
  </si>
  <si>
    <t xml:space="preserve">2019 - 14.5 miles
2020 - 17.2 miles
2021 - 23.6 miles
2022 (TY2024 forecast) - 11.6 miles
2023 (TY2024 forecast) - 10.1 miles 
2024 (TY2024 forecast) - 10.1 miles </t>
  </si>
  <si>
    <t xml:space="preserve">2019 - 42 miles
2020 - 59.7 miles
2021 - 58.9 miles
2022 (TY2024 forecast) - 45.6 miles
2023 (TY2024 forecast) - 42.9 miles 
2024 (TY2024 forecast) - 42.9 miles </t>
  </si>
  <si>
    <t>2019 - 10 stations
2020 - 9 stations
2021 - 10 stations
2022 (TY2024 forecast) - 24 stations
2023 (TY2024 forecast) - 12 stations 
2024 (TY2024 forecast) - 9 stations</t>
  </si>
  <si>
    <t xml:space="preserve">2019 - 0 stations
2020 - 0 stations
2021 - 0 stations
2022– 25 SCG stations initiated
2023 - 25 SCG stations
2024 – 25 SCG stations
</t>
  </si>
  <si>
    <t>2019 - 0.38 miles of main 
2020 - 0.02 miles of main 
2021 - 0.36 miles of main
2022 (TY2024 forecast) - NA
2023 (TY2024 forecast) - NA
2024 (TY2024 forecast) - NA</t>
  </si>
  <si>
    <t>2019 - 4 miles of main 
2020 - 4.6 miles of main 
2021 - 4.7 miles of main
2022 (TY2024 forecast) - NA
2023 (TY2024 forecast) - NA
2024 (TY2024 forecast) - NA</t>
  </si>
  <si>
    <t>Not included at part of VIPP or BSPR program</t>
  </si>
  <si>
    <t>Total Pipeline Miles to be Replaced by Program for Program completion, if applicablbe</t>
  </si>
  <si>
    <t>Determined based on risk results.</t>
  </si>
  <si>
    <t>Total pipeline miles subject to program</t>
  </si>
  <si>
    <t xml:space="preserve">19,083 miles of mains and services		</t>
  </si>
  <si>
    <t>16,657 miles of mains and services</t>
  </si>
  <si>
    <t>New Pipeline</t>
  </si>
  <si>
    <t>51,670 miles of main</t>
  </si>
  <si>
    <t xml:space="preserve">51,670 miles of main and 49,933 miles of services		</t>
  </si>
  <si>
    <t>49,933 miles of services</t>
  </si>
  <si>
    <t>1,951 regulator stations</t>
  </si>
  <si>
    <t>200 regulator stations targeted for enhancement by the end of the program in 2028</t>
  </si>
  <si>
    <t xml:space="preserve">25,965 miles of main and 16,645 miles of services		</t>
  </si>
  <si>
    <t>EOY 2021 DOT Report</t>
  </si>
  <si>
    <t>Expected year of program completion per utility's goals, if applicable</t>
  </si>
  <si>
    <t xml:space="preserve">Need for replacement is determined based on risk results. </t>
  </si>
  <si>
    <t>Planning Period</t>
  </si>
  <si>
    <t>17 months</t>
  </si>
  <si>
    <t>22 months</t>
  </si>
  <si>
    <t>19 months</t>
  </si>
  <si>
    <t>12 months</t>
  </si>
  <si>
    <t>6 months</t>
  </si>
  <si>
    <t>7 months</t>
  </si>
  <si>
    <t>25 months</t>
  </si>
  <si>
    <t>18 months</t>
  </si>
  <si>
    <t>23 months</t>
  </si>
  <si>
    <t>27 months</t>
  </si>
  <si>
    <t>16 months</t>
  </si>
  <si>
    <t>1 month</t>
  </si>
  <si>
    <t>5 months</t>
  </si>
  <si>
    <t>Calculated Probability of Leak per year or risk of failure</t>
  </si>
  <si>
    <t>Minimum possible</t>
  </si>
  <si>
    <t>Maximum possible</t>
  </si>
  <si>
    <t xml:space="preserve">Minimum </t>
  </si>
  <si>
    <t>0.0062 leaks per mile-year</t>
  </si>
  <si>
    <t>0.00043 leaks per mile-year</t>
  </si>
  <si>
    <t>25th Percentile</t>
  </si>
  <si>
    <t>0.028 leaks per mile-year</t>
  </si>
  <si>
    <t>0.056 leaks per mile-year</t>
  </si>
  <si>
    <t>Average</t>
  </si>
  <si>
    <t>0.039 leaks per mile-year</t>
  </si>
  <si>
    <t>0.11 leaks per mile-year</t>
  </si>
  <si>
    <t>75th Percentile</t>
  </si>
  <si>
    <t>0.054 leaks per mile-year</t>
  </si>
  <si>
    <t>0.21 leaks per mile-year</t>
  </si>
  <si>
    <t>95th Percentile</t>
  </si>
  <si>
    <t>0.1 leaks per mile-year</t>
  </si>
  <si>
    <t>0.49 leaks per mile-year</t>
  </si>
  <si>
    <t>Maximum</t>
  </si>
  <si>
    <t>150 leaks per mile-year</t>
  </si>
  <si>
    <t>Calculated Probabilty of serious safety incident given leak or consequence of failure</t>
  </si>
  <si>
    <t>0.00015 serious incidents per leak</t>
  </si>
  <si>
    <t>0.000014 serious incidents per leak</t>
  </si>
  <si>
    <t>0.00028 serious incidents per leak</t>
  </si>
  <si>
    <t>0.000028 serious incidents per leak</t>
  </si>
  <si>
    <t>0.00031 serious incidents per leak</t>
  </si>
  <si>
    <t>0.000031 serious incidents per leak</t>
  </si>
  <si>
    <t>0.00033 serious incidents per leak</t>
  </si>
  <si>
    <t>0.000034 serious incidents per leak</t>
  </si>
  <si>
    <t>0.00037 serious incidents per leak</t>
  </si>
  <si>
    <t>0.000046 serious incidents per leak</t>
  </si>
  <si>
    <t>0.00042 serious incidents per leak</t>
  </si>
  <si>
    <t>0.000091 serious incidents per leak</t>
  </si>
  <si>
    <t>Risk Score</t>
  </si>
  <si>
    <t>Minimum possible risk score</t>
  </si>
  <si>
    <t>Maximum possible risk score</t>
  </si>
  <si>
    <t>Minimum risk score</t>
  </si>
  <si>
    <t>0.0000015 serious incidents per mile-year</t>
  </si>
  <si>
    <t>0.000000012 serious incidents per mile-year</t>
  </si>
  <si>
    <t>25th Percentile risk score</t>
  </si>
  <si>
    <t>0.0000082 serious incidents per mile-year</t>
  </si>
  <si>
    <t>0.0000018 serious incidents per mile-year</t>
  </si>
  <si>
    <t>Average risk score</t>
  </si>
  <si>
    <t>0.000012 serious incidents per mile-year</t>
  </si>
  <si>
    <t>0.0000035 serious incidents per mile-year</t>
  </si>
  <si>
    <t>75th Percentile risk score</t>
  </si>
  <si>
    <t>0.000017 serious incidents per mile-year</t>
  </si>
  <si>
    <t>0.0000067 serious incidents per mile-year</t>
  </si>
  <si>
    <t>95th Percentile risk score</t>
  </si>
  <si>
    <t>0.000033 serious incidents per mile-year</t>
  </si>
  <si>
    <t>0.000016 serious incidents per mile-year</t>
  </si>
  <si>
    <t>Maximum risk score</t>
  </si>
  <si>
    <t>0.049 serious incidents per mile-year</t>
  </si>
  <si>
    <t>0.0041 serious incidents per mile-year</t>
  </si>
  <si>
    <t>Risk score value at which prioritized in most recent GRC</t>
  </si>
  <si>
    <t>Risk score value at which immediate action taken, if any</t>
  </si>
  <si>
    <t>Risk Scoring discussion and further information</t>
  </si>
  <si>
    <t>Aspects conributing to risk of failure</t>
  </si>
  <si>
    <t>A quantitative risk model is utilized to determine the probability of a leak and its associated consequence for corrosion threat on unprotected steel medium pressure mains and material and construction threats on vintage plastic medium pressure mains.  The probability of failure is determined by gradient boosted decision tree model using (but not limited to) internal asset data, historical leak data, and publicly available data.</t>
  </si>
  <si>
    <t>Aspects contributing to consequences of failure</t>
  </si>
  <si>
    <t>The consequence of failure is determined by modeling the probability that a leak is hazardous, followed by the probability that the hazardous leak results in life-safety consequences using a gradient boosted decision tree and statistical model.  Internal and external data considered in the consequence model includes (but not limited to) historical leak data, internal asset data, location, and PHMSA gas distribution incident data.</t>
  </si>
  <si>
    <t>Discussion of risk scoring approach</t>
  </si>
  <si>
    <t>A quantitative risk assessment method is utilized to determine the probability of a leak, the probability that a leak is hazardous, and the probability of a serious incident given a leak for corrosion threat on unprotected steel medium pressure mains and material and construction threats on vintage plastic medium pressure mains.  Medium pressure mains are those with operating pressure of 60 psig or less.  The risk of failure is defined as the probability of a serious incident per year.</t>
  </si>
  <si>
    <t>Staff contact name and email</t>
  </si>
  <si>
    <t>Various - Regulatory Affairs contact is Corinne Sierzant, csierzant@socalgas.com</t>
  </si>
  <si>
    <t>Various - Regulatory Affairs contact is Megan Silva, msilva@socalgas.com</t>
  </si>
  <si>
    <t>Customer Data</t>
  </si>
  <si>
    <t>Notes to include on assumptions, etc.</t>
  </si>
  <si>
    <t>Total customers</t>
  </si>
  <si>
    <t>Average annual daily core consumption (MMcfd)</t>
  </si>
  <si>
    <t>Average annual daily noncore consumption (MMcfd)</t>
  </si>
  <si>
    <t>Average annual daily wholesale consumpti0n (MMcfd)</t>
  </si>
  <si>
    <t>Average annual daily company use and lost/unaccounted for gas (MMcfd)</t>
  </si>
  <si>
    <t>Average SCG daily total *(0.340% + 0.937%)</t>
  </si>
  <si>
    <t>Systemwide peak hour (date and hour)</t>
  </si>
  <si>
    <t>12/16/2021, 07:00AM</t>
  </si>
  <si>
    <t>Average annual daily core consumption metered hourly (MMcfd)</t>
  </si>
  <si>
    <t>Average annual daily noncore consumption metered hourly (MMcfd)</t>
  </si>
  <si>
    <t>Average annual daily company use and lost/unaccounted for gas metered hourly (MMcfd)</t>
  </si>
  <si>
    <t>There are no data for “hourly metered Company Use and LUAF”.</t>
  </si>
  <si>
    <t>Average annual daily wholesale consumption metered hourly (MMcfd)</t>
  </si>
  <si>
    <t>Core consumption during peak hour, for core metered hourly (MMcfh)</t>
  </si>
  <si>
    <t>Noncore consumption during peak hour, for noncore metered hourly (MMcfh)</t>
  </si>
  <si>
    <t>Wholesale consumption during peak hour, for wholesale metered hourly (MMcfh)</t>
  </si>
  <si>
    <t>Company use and lost/unaccounted for gas during peak hour, for wholesale metered hourly (MMcfh)</t>
  </si>
  <si>
    <t>Estimated core consumption during peak hour, for core not metered hourly (MMcfh)</t>
  </si>
  <si>
    <t>Estimated noncore consumption during peak hour, for noncore not metered hourly (MMcfh)</t>
  </si>
  <si>
    <t>Estimated wholesale consumption during peak hour, for other not metered hourly (MMcfh)</t>
  </si>
  <si>
    <t>Estimated other consumption during peak hour, for other not metered hourly (MMcfh)</t>
  </si>
  <si>
    <t>Estimated Company use and lost/unaccounted for gas for peak hour = Peak hour demand X (0.340% + 0.937%)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</si>
</sst>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0"/>
    <numFmt numFmtId="168" formatCode="_(* #,##0.0_);_(* \(#,##0.0\);_(* &quot;-&quot;??_);_(@_)"/>
  </numFmts>
  <fonts count="13" x14ac:knownFonts="1">
    <font>
      <sz val="11"/>
      <color theme="1"/>
      <name val="Calibri"/>
      <family val="2"/>
      <scheme val="minor"/>
    </font>
    <font>
      <b/>
      <sz val="11"/>
      <color theme="1"/>
      <name val="Calibri"/>
      <family val="2"/>
      <scheme val="minor"/>
    </font>
    <font>
      <sz val="11"/>
      <color rgb="FF000000"/>
      <name val="Calibri"/>
      <family val="2"/>
      <scheme val="minor"/>
    </font>
    <font>
      <sz val="10"/>
      <color rgb="FF000000"/>
      <name val="Times New Roman"/>
      <family val="1"/>
    </font>
    <font>
      <sz val="10.5"/>
      <color rgb="FFFF0000"/>
      <name val="Arial"/>
      <family val="2"/>
    </font>
    <font>
      <sz val="11"/>
      <color theme="1"/>
      <name val="Calibri"/>
      <family val="2"/>
      <scheme val="minor"/>
    </font>
    <font>
      <sz val="11"/>
      <name val="Calibri"/>
      <family val="2"/>
      <scheme val="minor"/>
    </font>
    <font>
      <sz val="11"/>
      <color rgb="FFC00000"/>
      <name val="Calibri"/>
      <family val="2"/>
      <scheme val="minor"/>
    </font>
    <font>
      <sz val="9"/>
      <color indexed="81"/>
      <name val="Tahoma"/>
      <charset val="1"/>
    </font>
    <font>
      <b/>
      <sz val="9"/>
      <color indexed="81"/>
      <name val="Tahoma"/>
      <charset val="1"/>
    </font>
    <font>
      <i/>
      <sz val="11"/>
      <color rgb="FF000000"/>
      <name val="Calibri"/>
      <family val="2"/>
      <scheme val="minor"/>
    </font>
    <font>
      <b/>
      <i/>
      <sz val="11"/>
      <color rgb="FF000000"/>
      <name val="Calibri"/>
      <family val="2"/>
      <scheme val="minor"/>
    </font>
    <font>
      <sz val="10"/>
      <color rgb="FF000000"/>
      <name val="Calibri"/>
      <family val="2"/>
      <scheme val="minor"/>
    </font>
  </fonts>
  <fills count="5">
    <fill>
      <patternFill patternType="none"/>
    </fill>
    <fill>
      <patternFill patternType="gray125"/>
    </fill>
    <fill>
      <patternFill patternType="solid">
        <fgColor theme="0" tint="-0.34998626667073579"/>
        <bgColor indexed="64"/>
      </patternFill>
    </fill>
    <fill>
      <patternFill patternType="solid">
        <fgColor rgb="FFFFF2CC"/>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36">
    <xf numFmtId="0" fontId="0" fillId="0" borderId="0" xfId="0"/>
    <xf numFmtId="0" fontId="3" fillId="0" borderId="1" xfId="0" applyFont="1" applyBorder="1" applyAlignment="1">
      <alignment horizontal="left" vertical="top" wrapText="1"/>
    </xf>
    <xf numFmtId="0" fontId="0" fillId="0" borderId="1" xfId="0" applyBorder="1" applyAlignment="1">
      <alignment vertical="top" wrapText="1"/>
    </xf>
    <xf numFmtId="0" fontId="1" fillId="0" borderId="1" xfId="0" applyFont="1" applyBorder="1" applyAlignment="1">
      <alignment vertical="top" wrapText="1"/>
    </xf>
    <xf numFmtId="0" fontId="0" fillId="0" borderId="1" xfId="0" applyBorder="1" applyAlignment="1">
      <alignment horizontal="left" vertical="top" wrapText="1"/>
    </xf>
    <xf numFmtId="165" fontId="0" fillId="0" borderId="1" xfId="1" applyNumberFormat="1" applyFont="1" applyBorder="1" applyAlignment="1">
      <alignment horizontal="left" vertical="top" wrapText="1"/>
    </xf>
    <xf numFmtId="164" fontId="0" fillId="0" borderId="1" xfId="0" applyNumberFormat="1" applyBorder="1" applyAlignment="1">
      <alignment horizontal="left" vertical="top" wrapText="1"/>
    </xf>
    <xf numFmtId="1" fontId="0" fillId="0" borderId="1" xfId="0" applyNumberFormat="1" applyBorder="1" applyAlignment="1">
      <alignment horizontal="left" vertical="top" wrapText="1"/>
    </xf>
    <xf numFmtId="0" fontId="0" fillId="0" borderId="1" xfId="0" quotePrefix="1" applyBorder="1" applyAlignment="1">
      <alignment horizontal="left" vertical="top" wrapText="1"/>
    </xf>
    <xf numFmtId="44" fontId="0" fillId="0" borderId="1" xfId="2" applyFont="1" applyFill="1" applyBorder="1" applyAlignment="1">
      <alignment horizontal="left" vertical="top" wrapText="1"/>
    </xf>
    <xf numFmtId="44" fontId="0" fillId="0" borderId="1" xfId="2" applyFont="1" applyBorder="1" applyAlignment="1">
      <alignment horizontal="left" vertical="top" wrapText="1"/>
    </xf>
    <xf numFmtId="166" fontId="0" fillId="0" borderId="1" xfId="2" applyNumberFormat="1" applyFont="1" applyBorder="1" applyAlignment="1">
      <alignment horizontal="left" vertical="top" wrapText="1"/>
    </xf>
    <xf numFmtId="0" fontId="4" fillId="0" borderId="1" xfId="0" applyFont="1" applyBorder="1" applyAlignment="1">
      <alignment vertical="top" wrapText="1"/>
    </xf>
    <xf numFmtId="0" fontId="2" fillId="0" borderId="1" xfId="0" applyFont="1" applyBorder="1" applyAlignment="1">
      <alignment horizontal="left" vertical="top" wrapText="1"/>
    </xf>
    <xf numFmtId="0" fontId="0" fillId="2" borderId="1" xfId="0" applyFill="1" applyBorder="1" applyAlignment="1">
      <alignment vertical="top" wrapText="1"/>
    </xf>
    <xf numFmtId="0" fontId="7" fillId="0" borderId="1" xfId="0" applyFont="1" applyBorder="1" applyAlignment="1">
      <alignment vertical="top" wrapText="1"/>
    </xf>
    <xf numFmtId="168" fontId="0" fillId="0" borderId="1" xfId="0" applyNumberFormat="1" applyBorder="1" applyAlignment="1">
      <alignment horizontal="left" vertical="top" wrapText="1"/>
    </xf>
    <xf numFmtId="168" fontId="0" fillId="0" borderId="1" xfId="0" applyNumberFormat="1" applyBorder="1" applyAlignment="1">
      <alignment vertical="top" wrapText="1"/>
    </xf>
    <xf numFmtId="3" fontId="0" fillId="0" borderId="1" xfId="0" applyNumberFormat="1" applyBorder="1" applyAlignment="1">
      <alignment horizontal="left" vertical="top" wrapText="1"/>
    </xf>
    <xf numFmtId="0" fontId="1" fillId="0" borderId="1" xfId="0" applyFont="1" applyBorder="1" applyAlignment="1">
      <alignment horizontal="left" vertical="top" wrapText="1"/>
    </xf>
    <xf numFmtId="165" fontId="2" fillId="0" borderId="1" xfId="1" applyNumberFormat="1" applyFont="1" applyBorder="1" applyAlignment="1">
      <alignment horizontal="left" vertical="top" wrapText="1"/>
    </xf>
    <xf numFmtId="0" fontId="2" fillId="0" borderId="1" xfId="0" applyFont="1" applyBorder="1" applyAlignment="1">
      <alignment vertical="top" wrapText="1"/>
    </xf>
    <xf numFmtId="167" fontId="2" fillId="0" borderId="1" xfId="0" applyNumberFormat="1" applyFont="1" applyBorder="1" applyAlignment="1">
      <alignment horizontal="left" vertical="top" wrapText="1"/>
    </xf>
    <xf numFmtId="164" fontId="2" fillId="0" borderId="1" xfId="0" applyNumberFormat="1" applyFont="1" applyBorder="1" applyAlignment="1">
      <alignment vertical="top" wrapText="1"/>
    </xf>
    <xf numFmtId="44" fontId="2" fillId="0" borderId="1" xfId="2" applyFont="1" applyFill="1" applyBorder="1" applyAlignment="1">
      <alignment horizontal="left" vertical="top" wrapText="1"/>
    </xf>
    <xf numFmtId="0" fontId="2" fillId="0" borderId="2" xfId="0" applyFont="1" applyBorder="1" applyAlignment="1">
      <alignment vertical="top"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wrapText="1"/>
    </xf>
    <xf numFmtId="11" fontId="2" fillId="4" borderId="5" xfId="0" applyNumberFormat="1" applyFont="1" applyFill="1" applyBorder="1" applyAlignment="1">
      <alignment horizontal="left"/>
    </xf>
    <xf numFmtId="0" fontId="0" fillId="0" borderId="3" xfId="0" applyBorder="1" applyAlignment="1">
      <alignment vertical="top"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0" fillId="0" borderId="1" xfId="0" applyBorder="1" applyAlignment="1">
      <alignment vertical="top"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A0F4-74E2-4231-8346-86BA542962CC}">
  <sheetPr codeName="Sheet1">
    <pageSetUpPr fitToPage="1"/>
  </sheetPr>
  <dimension ref="A1:L31"/>
  <sheetViews>
    <sheetView zoomScale="85" zoomScaleNormal="85" workbookViewId="0">
      <pane xSplit="1" ySplit="1" topLeftCell="B21" activePane="bottomRight" state="frozen"/>
      <selection pane="topRight" activeCell="B1" sqref="B1"/>
      <selection pane="bottomLeft" activeCell="A2" sqref="A2"/>
      <selection pane="bottomRight" activeCell="D8" sqref="D8"/>
    </sheetView>
  </sheetViews>
  <sheetFormatPr defaultColWidth="8.7109375" defaultRowHeight="15" x14ac:dyDescent="0.25"/>
  <cols>
    <col min="1" max="1" width="57.5703125" style="2" customWidth="1"/>
    <col min="2" max="2" width="14.5703125" style="2" customWidth="1"/>
    <col min="3" max="3" width="27.140625" style="2" customWidth="1"/>
    <col min="4" max="8" width="12" style="2" customWidth="1"/>
    <col min="9" max="11" width="12.7109375" style="2" customWidth="1"/>
    <col min="12" max="12" width="63.42578125" style="2" customWidth="1"/>
    <col min="13" max="16384" width="8.7109375" style="2"/>
  </cols>
  <sheetData>
    <row r="1" spans="1:12" ht="75" x14ac:dyDescent="0.25">
      <c r="A1" s="3" t="s">
        <v>0</v>
      </c>
      <c r="B1" s="3" t="s">
        <v>1</v>
      </c>
      <c r="C1" s="3" t="s">
        <v>2</v>
      </c>
      <c r="D1" s="3" t="s">
        <v>3</v>
      </c>
      <c r="E1" s="3" t="s">
        <v>4</v>
      </c>
      <c r="F1" s="3" t="s">
        <v>5</v>
      </c>
      <c r="G1" s="3" t="s">
        <v>6</v>
      </c>
      <c r="H1" s="3" t="s">
        <v>7</v>
      </c>
      <c r="I1" s="3" t="s">
        <v>8</v>
      </c>
      <c r="J1" s="3" t="s">
        <v>9</v>
      </c>
      <c r="K1" s="3" t="s">
        <v>10</v>
      </c>
      <c r="L1" s="3" t="s">
        <v>11</v>
      </c>
    </row>
    <row r="2" spans="1:12" ht="30" x14ac:dyDescent="0.25">
      <c r="A2" s="2" t="s">
        <v>12</v>
      </c>
      <c r="B2" s="4" t="s">
        <v>13</v>
      </c>
      <c r="C2" s="4"/>
      <c r="D2" s="14"/>
      <c r="E2" s="14" t="s">
        <v>14</v>
      </c>
      <c r="F2" s="14"/>
      <c r="G2" s="14"/>
      <c r="H2" s="14"/>
      <c r="I2" s="14"/>
      <c r="J2" s="14"/>
      <c r="K2" s="14"/>
      <c r="L2" s="14"/>
    </row>
    <row r="3" spans="1:12" x14ac:dyDescent="0.25">
      <c r="A3" s="2" t="s">
        <v>15</v>
      </c>
      <c r="B3" s="4" t="s">
        <v>16</v>
      </c>
      <c r="C3" s="4"/>
      <c r="D3" s="14"/>
      <c r="E3" s="14"/>
      <c r="F3" s="14"/>
      <c r="G3" s="14"/>
      <c r="H3" s="14"/>
      <c r="I3" s="14"/>
      <c r="J3" s="14"/>
      <c r="K3" s="14"/>
      <c r="L3" s="14"/>
    </row>
    <row r="4" spans="1:12" ht="30" x14ac:dyDescent="0.25">
      <c r="A4" s="2" t="s">
        <v>17</v>
      </c>
      <c r="B4" s="4" t="s">
        <v>18</v>
      </c>
      <c r="C4" s="4"/>
      <c r="D4" s="14"/>
      <c r="E4" s="14"/>
      <c r="F4" s="14"/>
      <c r="G4" s="14"/>
      <c r="H4" s="14"/>
      <c r="I4" s="14"/>
      <c r="J4" s="14"/>
      <c r="K4" s="14"/>
      <c r="L4" s="14"/>
    </row>
    <row r="5" spans="1:12" ht="14.45" customHeight="1" x14ac:dyDescent="0.25">
      <c r="A5" s="2" t="s">
        <v>19</v>
      </c>
      <c r="B5" s="4" t="s">
        <v>20</v>
      </c>
      <c r="C5" s="4"/>
      <c r="D5" s="14"/>
      <c r="E5" s="14"/>
      <c r="F5" s="14"/>
      <c r="G5" s="14"/>
      <c r="H5" s="14"/>
      <c r="I5" s="14"/>
      <c r="J5" s="14"/>
      <c r="K5" s="14"/>
      <c r="L5" s="14"/>
    </row>
    <row r="6" spans="1:12" x14ac:dyDescent="0.25">
      <c r="A6" s="2" t="s">
        <v>21</v>
      </c>
      <c r="B6" s="4" t="s">
        <v>22</v>
      </c>
      <c r="C6" s="4"/>
      <c r="D6" s="14"/>
      <c r="E6" s="14"/>
      <c r="F6" s="14"/>
      <c r="G6" s="14"/>
      <c r="H6" s="14"/>
      <c r="I6" s="14"/>
      <c r="J6" s="14"/>
      <c r="K6" s="14"/>
      <c r="L6" s="14"/>
    </row>
    <row r="7" spans="1:12" ht="30" x14ac:dyDescent="0.25">
      <c r="A7" s="2" t="s">
        <v>23</v>
      </c>
      <c r="B7" s="4" t="s">
        <v>24</v>
      </c>
      <c r="C7" s="4"/>
      <c r="D7" s="14"/>
      <c r="E7" s="14"/>
      <c r="F7" s="14"/>
      <c r="G7" s="14"/>
      <c r="H7" s="14"/>
      <c r="I7" s="14"/>
      <c r="J7" s="14"/>
      <c r="K7" s="14"/>
      <c r="L7" s="14"/>
    </row>
    <row r="8" spans="1:12" ht="45" x14ac:dyDescent="0.25">
      <c r="A8" s="2" t="s">
        <v>25</v>
      </c>
      <c r="B8" s="5">
        <v>51670</v>
      </c>
      <c r="C8" s="4" t="s">
        <v>26</v>
      </c>
      <c r="D8" s="20">
        <v>51249</v>
      </c>
      <c r="E8" s="20">
        <v>51424</v>
      </c>
      <c r="F8" s="20">
        <v>51670</v>
      </c>
      <c r="G8" s="21" t="s">
        <v>27</v>
      </c>
      <c r="H8" s="21" t="s">
        <v>27</v>
      </c>
      <c r="I8" s="21" t="s">
        <v>27</v>
      </c>
      <c r="J8" s="21" t="s">
        <v>27</v>
      </c>
      <c r="K8" s="21" t="s">
        <v>27</v>
      </c>
      <c r="L8" s="21" t="s">
        <v>28</v>
      </c>
    </row>
    <row r="9" spans="1:12" ht="30" x14ac:dyDescent="0.25">
      <c r="A9" s="2" t="s">
        <v>29</v>
      </c>
      <c r="B9" s="5">
        <v>49933</v>
      </c>
      <c r="C9" s="4" t="s">
        <v>30</v>
      </c>
      <c r="D9" s="20">
        <f>4495822*59/5280</f>
        <v>50237.404924242423</v>
      </c>
      <c r="E9" s="20">
        <f>4523399*59/5280</f>
        <v>50545.557007575757</v>
      </c>
      <c r="F9" s="20">
        <v>49933</v>
      </c>
      <c r="G9" s="21" t="s">
        <v>27</v>
      </c>
      <c r="H9" s="21" t="s">
        <v>27</v>
      </c>
      <c r="I9" s="21" t="s">
        <v>27</v>
      </c>
      <c r="J9" s="21" t="s">
        <v>27</v>
      </c>
      <c r="K9" s="21" t="s">
        <v>27</v>
      </c>
      <c r="L9" s="21" t="s">
        <v>28</v>
      </c>
    </row>
    <row r="10" spans="1:12" ht="30" x14ac:dyDescent="0.25">
      <c r="A10" s="2" t="s">
        <v>31</v>
      </c>
      <c r="B10" s="4">
        <v>1.12E-2</v>
      </c>
      <c r="C10" s="4" t="s">
        <v>30</v>
      </c>
      <c r="D10" s="22">
        <f>59/5280</f>
        <v>1.1174242424242425E-2</v>
      </c>
      <c r="E10" s="22">
        <f>59/5280</f>
        <v>1.1174242424242425E-2</v>
      </c>
      <c r="F10" s="13">
        <v>1.12E-2</v>
      </c>
      <c r="G10" s="21" t="s">
        <v>27</v>
      </c>
      <c r="H10" s="21" t="s">
        <v>27</v>
      </c>
      <c r="I10" s="21" t="s">
        <v>27</v>
      </c>
      <c r="J10" s="21" t="s">
        <v>27</v>
      </c>
      <c r="K10" s="21" t="s">
        <v>27</v>
      </c>
      <c r="L10" s="21" t="s">
        <v>28</v>
      </c>
    </row>
    <row r="11" spans="1:12" ht="105" x14ac:dyDescent="0.25">
      <c r="A11" s="2" t="s">
        <v>32</v>
      </c>
      <c r="B11" s="6">
        <f>230948/5280/3</f>
        <v>14.580050505050506</v>
      </c>
      <c r="C11" s="4" t="s">
        <v>33</v>
      </c>
      <c r="D11" s="23">
        <f>76822/5280</f>
        <v>14.549621212121211</v>
      </c>
      <c r="E11" s="23">
        <f>90787/5280</f>
        <v>17.194507575757576</v>
      </c>
      <c r="F11" s="23">
        <f>124688/5280</f>
        <v>23.615151515151513</v>
      </c>
      <c r="G11" s="21" t="s">
        <v>27</v>
      </c>
      <c r="H11" s="21" t="s">
        <v>27</v>
      </c>
      <c r="I11" s="23">
        <f>61133/5280</f>
        <v>11.578219696969697</v>
      </c>
      <c r="J11" s="23">
        <f>53524/5280</f>
        <v>10.137121212121212</v>
      </c>
      <c r="K11" s="23">
        <f>53524/5280</f>
        <v>10.137121212121212</v>
      </c>
      <c r="L11" s="21" t="s">
        <v>34</v>
      </c>
    </row>
    <row r="12" spans="1:12" ht="105" x14ac:dyDescent="0.25">
      <c r="A12" s="2" t="s">
        <v>35</v>
      </c>
      <c r="B12" s="6">
        <f>1370477/5280/3</f>
        <v>86.520012626262613</v>
      </c>
      <c r="C12" s="4" t="s">
        <v>33</v>
      </c>
      <c r="D12" s="23">
        <f>221746/5280</f>
        <v>41.997348484848487</v>
      </c>
      <c r="E12" s="23">
        <f>315319/5280</f>
        <v>59.719507575757575</v>
      </c>
      <c r="F12" s="23">
        <f>311133/5280</f>
        <v>58.926704545454548</v>
      </c>
      <c r="G12" s="21" t="s">
        <v>27</v>
      </c>
      <c r="H12" s="21" t="s">
        <v>27</v>
      </c>
      <c r="I12" s="23">
        <f>240546/5280</f>
        <v>45.557954545454542</v>
      </c>
      <c r="J12" s="23">
        <f>226548/5280</f>
        <v>42.906818181818181</v>
      </c>
      <c r="K12" s="23">
        <f>226548/5280</f>
        <v>42.906818181818181</v>
      </c>
      <c r="L12" s="21" t="s">
        <v>36</v>
      </c>
    </row>
    <row r="13" spans="1:12" ht="105" x14ac:dyDescent="0.25">
      <c r="A13" s="2" t="s">
        <v>37</v>
      </c>
      <c r="B13" s="7">
        <v>234</v>
      </c>
      <c r="C13" s="4" t="s">
        <v>38</v>
      </c>
      <c r="D13" s="21">
        <v>292</v>
      </c>
      <c r="E13" s="21">
        <v>175</v>
      </c>
      <c r="F13" s="21">
        <v>246</v>
      </c>
      <c r="G13" s="21" t="s">
        <v>27</v>
      </c>
      <c r="H13" s="21" t="s">
        <v>27</v>
      </c>
      <c r="I13" s="21" t="s">
        <v>27</v>
      </c>
      <c r="J13" s="21" t="s">
        <v>27</v>
      </c>
      <c r="K13" s="21" t="s">
        <v>27</v>
      </c>
      <c r="L13" s="21" t="s">
        <v>39</v>
      </c>
    </row>
    <row r="14" spans="1:12" ht="105" x14ac:dyDescent="0.25">
      <c r="A14" s="2" t="s">
        <v>40</v>
      </c>
      <c r="B14" s="8">
        <v>-51</v>
      </c>
      <c r="C14" s="4" t="s">
        <v>38</v>
      </c>
      <c r="D14" s="21">
        <v>152</v>
      </c>
      <c r="E14" s="21">
        <v>308</v>
      </c>
      <c r="F14" s="21">
        <v>-612</v>
      </c>
      <c r="G14" s="21" t="s">
        <v>27</v>
      </c>
      <c r="H14" s="21" t="s">
        <v>27</v>
      </c>
      <c r="I14" s="21" t="s">
        <v>27</v>
      </c>
      <c r="J14" s="21" t="s">
        <v>27</v>
      </c>
      <c r="K14" s="21" t="s">
        <v>27</v>
      </c>
      <c r="L14" s="21" t="s">
        <v>39</v>
      </c>
    </row>
    <row r="15" spans="1:12" ht="60" x14ac:dyDescent="0.25">
      <c r="A15" s="2" t="s">
        <v>41</v>
      </c>
      <c r="B15" s="4">
        <v>32</v>
      </c>
      <c r="C15" s="4" t="s">
        <v>42</v>
      </c>
      <c r="D15" s="21">
        <v>4</v>
      </c>
      <c r="E15" s="21">
        <v>7</v>
      </c>
      <c r="F15" s="21">
        <v>6</v>
      </c>
      <c r="G15" s="21">
        <v>11</v>
      </c>
      <c r="H15" s="21">
        <v>3</v>
      </c>
      <c r="I15" s="21">
        <v>11</v>
      </c>
      <c r="J15" s="21">
        <v>3</v>
      </c>
      <c r="K15" s="21" t="s">
        <v>27</v>
      </c>
      <c r="L15" s="21" t="s">
        <v>43</v>
      </c>
    </row>
    <row r="16" spans="1:12" ht="45" x14ac:dyDescent="0.25">
      <c r="A16" s="2" t="s">
        <v>44</v>
      </c>
      <c r="B16" s="4">
        <v>71</v>
      </c>
      <c r="C16" s="4" t="s">
        <v>45</v>
      </c>
      <c r="D16" s="21">
        <v>10</v>
      </c>
      <c r="E16" s="21">
        <v>9</v>
      </c>
      <c r="F16" s="21">
        <v>10</v>
      </c>
      <c r="G16" s="21">
        <v>24</v>
      </c>
      <c r="H16" s="21">
        <v>12</v>
      </c>
      <c r="I16" s="21">
        <v>24</v>
      </c>
      <c r="J16" s="21">
        <v>12</v>
      </c>
      <c r="K16" s="21">
        <v>9</v>
      </c>
      <c r="L16" s="21" t="s">
        <v>46</v>
      </c>
    </row>
    <row r="17" spans="1:12" ht="105" x14ac:dyDescent="0.25">
      <c r="A17" s="2" t="s">
        <v>47</v>
      </c>
      <c r="B17" s="4">
        <v>110</v>
      </c>
      <c r="C17" s="4" t="s">
        <v>48</v>
      </c>
      <c r="D17" s="21">
        <v>8</v>
      </c>
      <c r="E17" s="21">
        <v>7</v>
      </c>
      <c r="F17" s="21">
        <v>11</v>
      </c>
      <c r="G17" s="21" t="s">
        <v>27</v>
      </c>
      <c r="H17" s="21" t="s">
        <v>27</v>
      </c>
      <c r="I17" s="21">
        <v>27</v>
      </c>
      <c r="J17" s="21">
        <v>30</v>
      </c>
      <c r="K17" s="21">
        <v>25</v>
      </c>
      <c r="L17" s="21" t="s">
        <v>49</v>
      </c>
    </row>
    <row r="18" spans="1:12" ht="105" x14ac:dyDescent="0.25">
      <c r="A18" s="2" t="s">
        <v>50</v>
      </c>
      <c r="B18" s="9">
        <f>(63771383.57+412872007.46)/(451621+3294335.5)*5280</f>
        <v>671838.31543115887</v>
      </c>
      <c r="C18" s="4" t="s">
        <v>51</v>
      </c>
      <c r="D18" s="21" t="str">
        <f>"Labor: "
&amp; ROUND((2103311.02)/(76822)*5280,2)
&amp; " "
&amp; "Non-Labor: "
&amp; ROUND((14142865.1)/(76822)*5280,2)</f>
        <v>Labor: 144561.22 Non-Labor: 972043.53</v>
      </c>
      <c r="E18" s="21" t="str">
        <f>"Labor: "
&amp; ROUND((2057503.23)/(90787)*5280,2)
&amp; " "
&amp; "Non-Labor: "
&amp; ROUND((21051991.88)/(90787)*5280,2)</f>
        <v>Labor: 119660.49 Non-Labor: 1224343.98</v>
      </c>
      <c r="F18" s="21" t="str">
        <f>"Labor: "
&amp; ROUND((2148268.97)/(124688)*5280,2)
&amp; " "
&amp; "Non-Labor: "
&amp; ROUND((22257724.62)/(124688)*5280,2)</f>
        <v>Labor: 90969.94 Non-Labor: 942518.81</v>
      </c>
      <c r="G18" s="21" t="s">
        <v>27</v>
      </c>
      <c r="H18" s="21" t="s">
        <v>27</v>
      </c>
      <c r="I18" s="21" t="str">
        <f>"Labor: "
&amp; ROUND((2254000)/(61133)*5280,2)
&amp; " "
&amp; "Non-Labor: "
&amp; ROUND((17585000)/(61133)*5280,2)</f>
        <v>Labor: 194675.87 Non-Labor: 1518799.99</v>
      </c>
      <c r="J18" s="21" t="str">
        <f>"Labor: "
&amp; ROUND((2003000)/(53524)*5280,2)
&amp; " "
&amp; "Non-Labor: "
&amp; ROUND((15623000)/(53524)*5280,2)</f>
        <v>Labor: 197590.61 Non-Labor: 1541167.33</v>
      </c>
      <c r="K18" s="21" t="str">
        <f>"Labor: "
&amp; ROUND((2003000)/(53524)*5280,2)
&amp; " "
&amp; "Non-Labor: "
&amp; ROUND((15623000)/(53524)*5280,2)</f>
        <v>Labor: 197590.61 Non-Labor: 1541167.33</v>
      </c>
      <c r="L18" s="21" t="s">
        <v>34</v>
      </c>
    </row>
    <row r="19" spans="1:12" ht="75" x14ac:dyDescent="0.25">
      <c r="A19" s="2" t="s">
        <v>52</v>
      </c>
      <c r="B19" s="9" t="s">
        <v>27</v>
      </c>
      <c r="C19" s="4" t="s">
        <v>53</v>
      </c>
      <c r="D19" s="24" t="s">
        <v>27</v>
      </c>
      <c r="E19" s="24" t="s">
        <v>27</v>
      </c>
      <c r="F19" s="24" t="s">
        <v>27</v>
      </c>
      <c r="G19" s="24" t="s">
        <v>27</v>
      </c>
      <c r="H19" s="24" t="s">
        <v>27</v>
      </c>
      <c r="I19" s="24" t="s">
        <v>27</v>
      </c>
      <c r="J19" s="24" t="s">
        <v>27</v>
      </c>
      <c r="K19" s="24" t="s">
        <v>27</v>
      </c>
      <c r="L19" s="13" t="s">
        <v>53</v>
      </c>
    </row>
    <row r="20" spans="1:12" ht="120" x14ac:dyDescent="0.25">
      <c r="A20" s="2" t="s">
        <v>54</v>
      </c>
      <c r="B20" s="9">
        <f>(121989212.8+26956983.24)/(1370477+226759)*5280</f>
        <v>492373.02132634126</v>
      </c>
      <c r="C20" s="4" t="s">
        <v>55</v>
      </c>
      <c r="D20" s="21" t="str">
        <f>"Labor: "
&amp; ROUND((4102331.27)/(221746)*5280,2)
&amp; " "
&amp; "Non-Labor: "
&amp; ROUND((26267346.01)/(221746)*5280,2)</f>
        <v>Labor: 97680.72 Non-Labor: 625452.49</v>
      </c>
      <c r="E20" s="21" t="str">
        <f>"Labor: "
&amp; ROUND((3864393.74)/(315319)*5280,2)
&amp; " "
&amp; "Non-Labor: "
&amp; ROUND((40059686.22)/(315319)*5280,2)</f>
        <v>Labor: 64709.07 Non-Labor: 670797.33</v>
      </c>
      <c r="F20" s="21" t="str">
        <f>"Labor: "
&amp; ROUND((3212551.44)/(311133)*5280,2)
&amp; " "
&amp; "Non-Labor: "
&amp; ROUND((44480333.9)/(3111333)*5280,2)</f>
        <v>Labor: 54517.75 Non-Labor: 75484.1</v>
      </c>
      <c r="G20" s="21" t="s">
        <v>27</v>
      </c>
      <c r="H20" s="21" t="s">
        <v>27</v>
      </c>
      <c r="I20" s="21" t="str">
        <f>"Labor: "
&amp; ROUND((18.29173948)*5280,2)
&amp; " "
&amp; "Non-Labor: "
&amp; ROUND((169.7349)*5280,2)</f>
        <v>Labor: 96580.38 Non-Labor: 896200.27</v>
      </c>
      <c r="J20" s="21" t="str">
        <f>"Labor: "
&amp; ROUND((15.97897337)*5280,2)
&amp; " "
&amp; "Non-Labor: "
&amp; ROUND((172.0476)*5280,2)</f>
        <v>Labor: 84368.98 Non-Labor: 908411.33</v>
      </c>
      <c r="K20" s="21" t="str">
        <f>"Labor: "
&amp; ROUND((15.97897337)*5280,2)
&amp; " "
&amp; "Non-Labor: "
&amp; ROUND((172.0476)*5280,2)</f>
        <v>Labor: 84368.98 Non-Labor: 908411.33</v>
      </c>
      <c r="L20" s="21" t="s">
        <v>34</v>
      </c>
    </row>
    <row r="21" spans="1:12" ht="60" x14ac:dyDescent="0.25">
      <c r="A21" s="2" t="s">
        <v>56</v>
      </c>
      <c r="B21" s="4" t="s">
        <v>57</v>
      </c>
      <c r="C21" s="4" t="s">
        <v>58</v>
      </c>
      <c r="D21" s="25" t="s">
        <v>27</v>
      </c>
      <c r="E21" s="25" t="s">
        <v>27</v>
      </c>
      <c r="F21" s="25" t="s">
        <v>27</v>
      </c>
      <c r="G21" s="25" t="s">
        <v>27</v>
      </c>
      <c r="H21" s="25" t="s">
        <v>27</v>
      </c>
      <c r="I21" s="25" t="s">
        <v>27</v>
      </c>
      <c r="J21" s="25" t="s">
        <v>27</v>
      </c>
      <c r="K21" s="25" t="s">
        <v>27</v>
      </c>
      <c r="L21" s="25" t="s">
        <v>59</v>
      </c>
    </row>
    <row r="22" spans="1:12" ht="60" x14ac:dyDescent="0.25">
      <c r="A22" s="2" t="s">
        <v>60</v>
      </c>
      <c r="B22" s="4" t="s">
        <v>57</v>
      </c>
      <c r="C22" s="4" t="s">
        <v>58</v>
      </c>
      <c r="D22" s="25" t="s">
        <v>27</v>
      </c>
      <c r="E22" s="25" t="s">
        <v>27</v>
      </c>
      <c r="F22" s="25" t="s">
        <v>27</v>
      </c>
      <c r="G22" s="25" t="s">
        <v>27</v>
      </c>
      <c r="H22" s="25" t="s">
        <v>27</v>
      </c>
      <c r="I22" s="25" t="s">
        <v>27</v>
      </c>
      <c r="J22" s="25" t="s">
        <v>27</v>
      </c>
      <c r="K22" s="25" t="s">
        <v>27</v>
      </c>
      <c r="L22" s="25" t="s">
        <v>59</v>
      </c>
    </row>
    <row r="23" spans="1:12" ht="60" x14ac:dyDescent="0.25">
      <c r="A23" s="2" t="s">
        <v>61</v>
      </c>
      <c r="B23" s="4" t="s">
        <v>57</v>
      </c>
      <c r="C23" s="4" t="s">
        <v>62</v>
      </c>
      <c r="D23" s="25" t="s">
        <v>27</v>
      </c>
      <c r="E23" s="25" t="s">
        <v>27</v>
      </c>
      <c r="F23" s="25" t="s">
        <v>27</v>
      </c>
      <c r="G23" s="25" t="s">
        <v>27</v>
      </c>
      <c r="H23" s="25" t="s">
        <v>27</v>
      </c>
      <c r="I23" s="25" t="s">
        <v>27</v>
      </c>
      <c r="J23" s="25" t="s">
        <v>27</v>
      </c>
      <c r="K23" s="25" t="s">
        <v>27</v>
      </c>
      <c r="L23" s="25" t="s">
        <v>59</v>
      </c>
    </row>
    <row r="24" spans="1:12" ht="60" x14ac:dyDescent="0.25">
      <c r="A24" s="2" t="s">
        <v>63</v>
      </c>
      <c r="B24" s="4" t="s">
        <v>57</v>
      </c>
      <c r="C24" s="4" t="s">
        <v>58</v>
      </c>
      <c r="D24" s="25" t="s">
        <v>27</v>
      </c>
      <c r="E24" s="25" t="s">
        <v>27</v>
      </c>
      <c r="F24" s="25" t="s">
        <v>27</v>
      </c>
      <c r="G24" s="25" t="s">
        <v>27</v>
      </c>
      <c r="H24" s="25" t="s">
        <v>27</v>
      </c>
      <c r="I24" s="25" t="s">
        <v>27</v>
      </c>
      <c r="J24" s="25" t="s">
        <v>27</v>
      </c>
      <c r="K24" s="25" t="s">
        <v>27</v>
      </c>
      <c r="L24" s="25" t="s">
        <v>59</v>
      </c>
    </row>
    <row r="25" spans="1:12" ht="60" x14ac:dyDescent="0.25">
      <c r="A25" s="2" t="s">
        <v>64</v>
      </c>
      <c r="B25" s="4" t="s">
        <v>57</v>
      </c>
      <c r="C25" s="4" t="s">
        <v>58</v>
      </c>
      <c r="D25" s="25" t="s">
        <v>27</v>
      </c>
      <c r="E25" s="25" t="s">
        <v>27</v>
      </c>
      <c r="F25" s="25" t="s">
        <v>27</v>
      </c>
      <c r="G25" s="25" t="s">
        <v>27</v>
      </c>
      <c r="H25" s="25" t="s">
        <v>27</v>
      </c>
      <c r="I25" s="25" t="s">
        <v>27</v>
      </c>
      <c r="J25" s="25" t="s">
        <v>27</v>
      </c>
      <c r="K25" s="25" t="s">
        <v>27</v>
      </c>
      <c r="L25" s="25" t="s">
        <v>59</v>
      </c>
    </row>
    <row r="26" spans="1:12" ht="90" x14ac:dyDescent="0.25">
      <c r="A26" s="2" t="s">
        <v>65</v>
      </c>
      <c r="B26" s="10">
        <f>12.3751794053382*5280</f>
        <v>65340.947260185691</v>
      </c>
      <c r="C26" s="4" t="s">
        <v>66</v>
      </c>
      <c r="D26" s="21" t="str">
        <f>"Labor: "
&amp; ROUND(1508843.03/1138900*5280,2)
&amp; " "
&amp; "Non-Labor: "
&amp; ROUND(18776071.2/1138900*5280,2)</f>
        <v>Labor: 6995.08 Non-Labor: 87046.85</v>
      </c>
      <c r="E26" s="21" t="str">
        <f>"Labor: "
&amp; ROUND(1239916.39/1464970*5280,2)
&amp; " "
&amp; "Non-Labor: "
&amp; ROUND(14706233.71/1464970*5280,2)</f>
        <v>Labor: 4468.87 Non-Labor: 53003.76</v>
      </c>
      <c r="F26" s="21" t="str">
        <f>"Labor: "
&amp; ROUND(1194609.23/1285525*5280,2)
&amp; " "
&amp; "Non-Labor: "
&amp; ROUND(15751371.49/1285525*5280,2)</f>
        <v>Labor: 4906.58 Non-Labor: 64695.16</v>
      </c>
      <c r="G26" s="21" t="s">
        <v>27</v>
      </c>
      <c r="H26" s="21" t="s">
        <v>27</v>
      </c>
      <c r="I26" s="21" t="s">
        <v>27</v>
      </c>
      <c r="J26" s="21" t="s">
        <v>27</v>
      </c>
      <c r="K26" s="21" t="s">
        <v>27</v>
      </c>
      <c r="L26" s="21" t="s">
        <v>67</v>
      </c>
    </row>
    <row r="27" spans="1:12" ht="90" x14ac:dyDescent="0.25">
      <c r="A27" s="2" t="s">
        <v>68</v>
      </c>
      <c r="B27" s="10">
        <f>42.1241195880681*5280</f>
        <v>222415.35142499956</v>
      </c>
      <c r="C27" s="4" t="s">
        <v>69</v>
      </c>
      <c r="D27" s="21" t="str">
        <f>"Labor: "
&amp; ROUND(3327647.14/752419*5280,2)
&amp; " "
&amp; "Non-Labor: "
&amp; ROUND(37094612.43/752419*5280,2)</f>
        <v>Labor: 23351.32 Non-Labor: 260306.5</v>
      </c>
      <c r="E27" s="21" t="str">
        <f>"Labor: "
&amp; ROUND(2646632.83/1154649*5280,2)
&amp; " "
&amp; "Non-Labor: "
&amp; ROUND(38266179/1154649*5280,2)</f>
        <v>Labor: 12102.57 Non-Labor: 174984.28</v>
      </c>
      <c r="F27" s="21" t="str">
        <f>"Labor: "
&amp; ROUND(2554904.24/1074030*5280,2)
&amp; " "
&amp; "Non-Labor: "
&amp; ROUND(39516416.91/1074030*5280,2)</f>
        <v>Labor: 12560.07 Non-Labor: 194265.23</v>
      </c>
      <c r="G27" s="21" t="s">
        <v>27</v>
      </c>
      <c r="H27" s="21" t="s">
        <v>27</v>
      </c>
      <c r="I27" s="21" t="s">
        <v>27</v>
      </c>
      <c r="J27" s="21" t="s">
        <v>27</v>
      </c>
      <c r="K27" s="21" t="s">
        <v>27</v>
      </c>
      <c r="L27" s="21" t="s">
        <v>70</v>
      </c>
    </row>
    <row r="28" spans="1:12" ht="68.25" customHeight="1" x14ac:dyDescent="0.25">
      <c r="A28" s="2" t="s">
        <v>71</v>
      </c>
      <c r="B28" s="11">
        <v>229129.29012820518</v>
      </c>
      <c r="C28" s="4" t="s">
        <v>72</v>
      </c>
      <c r="D28" s="21" t="str">
        <f>"Labor: "
&amp; ROUND((202491.46+177849.02)/14,2)
&amp; " "
&amp; "Non-Labor: "
&amp; ROUND((3176237.36+1772038.55)/14,2)</f>
        <v>Labor: 27167.18 Non-Labor: 353448.28</v>
      </c>
      <c r="E28" s="21" t="str">
        <f>"Labor: "
&amp; ROUND((176912.73+163170.69)/16,2)
&amp; " "
&amp; "Non-Labor: "
&amp; ROUND((2095647.11+3028219.44)/16,2)</f>
        <v>Labor: 21255.21 Non-Labor: 320241.66</v>
      </c>
      <c r="F28" s="21" t="str">
        <f>"Labor: "
&amp; ROUND((238654.93+325697.13)/16,2)
&amp; " "
&amp; "Non-Labor: "
&amp; ROUND((3179797.63+3432415.96)/16,2)</f>
        <v>Labor: 35272 Non-Labor: 413263.35</v>
      </c>
      <c r="G28" s="21" t="s">
        <v>27</v>
      </c>
      <c r="H28" s="21" t="s">
        <v>27</v>
      </c>
      <c r="I28" s="21" t="s">
        <v>73</v>
      </c>
      <c r="J28" s="21" t="s">
        <v>73</v>
      </c>
      <c r="K28" s="21" t="s">
        <v>73</v>
      </c>
      <c r="L28" s="21" t="s">
        <v>74</v>
      </c>
    </row>
    <row r="29" spans="1:12" ht="66.75" customHeight="1" x14ac:dyDescent="0.25">
      <c r="A29" s="2" t="s">
        <v>75</v>
      </c>
      <c r="B29" s="11">
        <v>17874.016341463412</v>
      </c>
      <c r="C29" s="4" t="s">
        <v>76</v>
      </c>
      <c r="D29" s="21" t="str">
        <f>"Labor: "
&amp; ROUND((4032.99+1711.46)/8,2)
&amp; " "
&amp; "Non-Labor: "
&amp; ROUND((68243.47+159489.12+14486.73)/8,2)</f>
        <v>Labor: 718.06 Non-Labor: 30277.42</v>
      </c>
      <c r="E29" s="21" t="str">
        <f>"Labor: "
&amp; ROUND((30.07+31887.77+391.78)/6,2)
&amp; " "
&amp; "Non-Labor: "
&amp; ROUND((5318.38+225263.72+3081.26)/6,2)</f>
        <v>Labor: 5384.94 Non-Labor: 38943.89</v>
      </c>
      <c r="F29" s="21" t="str">
        <f>"Labor: "
&amp; ROUND((348.74+11321.42+8537.39)/11,2)
&amp; " "
&amp; "Non-Labor: "
&amp; ROUND((2851.06+153954.07+37925.02)/11,2)</f>
        <v>Labor: 1837.05 Non-Labor: 17702.74</v>
      </c>
      <c r="G29" s="21" t="s">
        <v>27</v>
      </c>
      <c r="H29" s="21" t="s">
        <v>27</v>
      </c>
      <c r="I29" s="21" t="s">
        <v>27</v>
      </c>
      <c r="J29" s="21" t="s">
        <v>27</v>
      </c>
      <c r="K29" s="21" t="s">
        <v>27</v>
      </c>
      <c r="L29" s="21" t="s">
        <v>77</v>
      </c>
    </row>
    <row r="30" spans="1:12" ht="154.5" customHeight="1" x14ac:dyDescent="0.25">
      <c r="A30" s="2" t="s">
        <v>78</v>
      </c>
      <c r="B30" s="4" t="s">
        <v>79</v>
      </c>
      <c r="C30" s="4" t="s">
        <v>80</v>
      </c>
      <c r="D30" s="21" t="s">
        <v>81</v>
      </c>
      <c r="E30" s="21" t="s">
        <v>82</v>
      </c>
      <c r="F30" s="21" t="s">
        <v>83</v>
      </c>
      <c r="G30" s="21" t="s">
        <v>84</v>
      </c>
      <c r="H30" s="21" t="s">
        <v>85</v>
      </c>
      <c r="I30" s="21" t="s">
        <v>86</v>
      </c>
      <c r="J30" s="21" t="s">
        <v>87</v>
      </c>
      <c r="K30" s="21" t="s">
        <v>88</v>
      </c>
      <c r="L30" s="21" t="s">
        <v>89</v>
      </c>
    </row>
    <row r="31" spans="1:12" ht="60" x14ac:dyDescent="0.25">
      <c r="A31" s="2" t="s">
        <v>90</v>
      </c>
      <c r="B31" s="4" t="s">
        <v>57</v>
      </c>
      <c r="C31" s="4"/>
      <c r="D31" s="21" t="str">
        <f>"Capital: $" &amp; ROUND(301934000/SUM(D8:D9),2) &amp;
" O&amp;M: $" &amp; ROUND(139780000/SUM(D8:D9),2)</f>
        <v>Capital: $2975.12 O&amp;M: $1377.33</v>
      </c>
      <c r="E31" s="21" t="str">
        <f>"Capital: $" &amp; ROUND(365616000/SUM(E8:E9),2) &amp;
" O&amp;M: $" &amp; ROUND(154026000/SUM(E8:E9),2)</f>
        <v>Capital: $3585.54 O&amp;M: $1510.51</v>
      </c>
      <c r="F31" s="21" t="str">
        <f>"Capital: $" &amp; ROUND(374031000/SUM(F8:F9),2) &amp;
" O&amp;M: $" &amp; ROUND(172556000/SUM(F8:F9),2)</f>
        <v>Capital: $3681.3 O&amp;M: $1698.34</v>
      </c>
      <c r="G31" s="21" t="str">
        <f>"Capital: $" &amp; ROUND(335659000/SUM($F$8:$F$9),2) &amp;
" O&amp;M: $" &amp; ROUND(165860000/SUM($F$8:$F$9),2)</f>
        <v>Capital: $3303.63 O&amp;M: $1632.43</v>
      </c>
      <c r="H31" s="21" t="str">
        <f>"Capital: $" &amp; ROUND(342815000/SUM($F$8:$F$9),2) &amp;
" O&amp;M: $" &amp; ROUND(169674000/SUM($F$8:$F$9),2)</f>
        <v>Capital: $3374.06 O&amp;M: $1669.97</v>
      </c>
      <c r="I31" s="21" t="str">
        <f>"Capital: $" &amp; ROUND(388786000/SUM($F$8:$F$9),2) &amp;
" O&amp;M: $" &amp; ROUND(169599000/SUM($F$8:$F$9),2)</f>
        <v>Capital: $3826.52 O&amp;M: $1669.23</v>
      </c>
      <c r="J31" s="21" t="str">
        <f>"Capital: $" &amp; ROUND(413355000/SUM($F$8:$F$9),2) &amp;
" O&amp;M: $" &amp; ROUND(165221000/SUM($F$8:$F$9),2)</f>
        <v>Capital: $4068.33 O&amp;M: $1626.14</v>
      </c>
      <c r="K31" s="21" t="str">
        <f>"Capital: $" &amp; ROUND(391525000/SUM($F$8:$F$9),2) &amp;
" O&amp;M: $" &amp; ROUND(168427000/SUM($F$8:$F$9),2)</f>
        <v>Capital: $3853.48 O&amp;M: $1657.7</v>
      </c>
      <c r="L31" s="21" t="s">
        <v>91</v>
      </c>
    </row>
  </sheetData>
  <autoFilter ref="A1:C31" xr:uid="{A7ADA0F4-74E2-4231-8346-86BA542962CC}"/>
  <pageMargins left="0.7" right="0.7" top="0.75" bottom="0.75" header="0.3" footer="0.3"/>
  <pageSetup scale="57"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AD5EE-A2F7-4CAB-8F5C-5302FF2A5D55}">
  <sheetPr codeName="Sheet2">
    <pageSetUpPr fitToPage="1"/>
  </sheetPr>
  <dimension ref="A1:W46"/>
  <sheetViews>
    <sheetView zoomScale="115" zoomScaleNormal="115" workbookViewId="0">
      <pane xSplit="2" ySplit="3" topLeftCell="C32" activePane="bottomRight" state="frozen"/>
      <selection pane="topRight" activeCell="C1" sqref="C1"/>
      <selection pane="bottomLeft" activeCell="A4" sqref="A4"/>
      <selection pane="bottomRight" activeCell="B16" sqref="B16"/>
    </sheetView>
  </sheetViews>
  <sheetFormatPr defaultColWidth="8.7109375" defaultRowHeight="15" x14ac:dyDescent="0.25"/>
  <cols>
    <col min="1" max="1" width="12.28515625" style="2" customWidth="1"/>
    <col min="2" max="2" width="49.42578125" style="2" customWidth="1"/>
    <col min="3" max="3" width="35.42578125" style="2" customWidth="1"/>
    <col min="4" max="4" width="30.85546875" style="2" customWidth="1"/>
    <col min="5" max="19" width="23.85546875" style="2" customWidth="1"/>
    <col min="20" max="20" width="64.7109375" style="2" customWidth="1"/>
    <col min="21" max="16384" width="8.7109375" style="2"/>
  </cols>
  <sheetData>
    <row r="1" spans="1:22" x14ac:dyDescent="0.25">
      <c r="B1" s="12"/>
    </row>
    <row r="2" spans="1:22" ht="60.75" customHeight="1" x14ac:dyDescent="0.25">
      <c r="A2" s="3" t="s">
        <v>92</v>
      </c>
      <c r="C2" s="3" t="s">
        <v>1</v>
      </c>
      <c r="D2" s="3" t="s">
        <v>1</v>
      </c>
      <c r="E2" s="3" t="s">
        <v>1</v>
      </c>
      <c r="F2" s="3" t="s">
        <v>1</v>
      </c>
      <c r="G2" s="3" t="s">
        <v>1</v>
      </c>
      <c r="H2" s="3" t="s">
        <v>1</v>
      </c>
      <c r="I2" s="3" t="s">
        <v>1</v>
      </c>
      <c r="J2" s="3" t="s">
        <v>1</v>
      </c>
      <c r="K2" s="3" t="s">
        <v>1</v>
      </c>
      <c r="L2" s="3" t="s">
        <v>1</v>
      </c>
      <c r="M2" s="3" t="s">
        <v>1</v>
      </c>
      <c r="N2" s="3" t="s">
        <v>1</v>
      </c>
      <c r="O2" s="3" t="s">
        <v>1</v>
      </c>
      <c r="P2" s="3" t="s">
        <v>1</v>
      </c>
      <c r="Q2" s="3" t="s">
        <v>1</v>
      </c>
      <c r="R2" s="3" t="s">
        <v>1</v>
      </c>
      <c r="S2" s="3" t="s">
        <v>1</v>
      </c>
      <c r="T2" s="3" t="s">
        <v>2</v>
      </c>
    </row>
    <row r="3" spans="1:22" ht="90" x14ac:dyDescent="0.25">
      <c r="A3" s="35" t="s">
        <v>93</v>
      </c>
      <c r="B3" s="2" t="s">
        <v>94</v>
      </c>
      <c r="C3" s="26" t="s">
        <v>95</v>
      </c>
      <c r="D3" s="26" t="s">
        <v>96</v>
      </c>
      <c r="E3" s="26" t="s">
        <v>97</v>
      </c>
      <c r="F3" s="26" t="s">
        <v>98</v>
      </c>
      <c r="G3" s="26" t="s">
        <v>99</v>
      </c>
      <c r="H3" s="26" t="s">
        <v>100</v>
      </c>
      <c r="I3" s="26" t="s">
        <v>101</v>
      </c>
      <c r="J3" s="26" t="s">
        <v>102</v>
      </c>
      <c r="K3" s="26" t="s">
        <v>103</v>
      </c>
      <c r="L3" s="26" t="s">
        <v>104</v>
      </c>
      <c r="M3" s="26" t="s">
        <v>105</v>
      </c>
      <c r="N3" s="26" t="s">
        <v>106</v>
      </c>
      <c r="O3" s="26" t="s">
        <v>107</v>
      </c>
      <c r="P3" s="26" t="s">
        <v>108</v>
      </c>
      <c r="Q3" s="26" t="s">
        <v>109</v>
      </c>
      <c r="R3" s="26" t="s">
        <v>110</v>
      </c>
      <c r="S3" s="26" t="s">
        <v>111</v>
      </c>
      <c r="T3" s="13" t="s">
        <v>112</v>
      </c>
    </row>
    <row r="4" spans="1:22" ht="138" customHeight="1" x14ac:dyDescent="0.25">
      <c r="A4" s="35"/>
      <c r="B4" s="2" t="s">
        <v>113</v>
      </c>
      <c r="C4" s="1" t="s">
        <v>114</v>
      </c>
      <c r="D4" s="26" t="s">
        <v>115</v>
      </c>
      <c r="E4" s="26" t="s">
        <v>116</v>
      </c>
      <c r="F4" s="26" t="s">
        <v>117</v>
      </c>
      <c r="G4" s="26" t="s">
        <v>118</v>
      </c>
      <c r="H4" s="26" t="s">
        <v>119</v>
      </c>
      <c r="I4" s="26" t="s">
        <v>120</v>
      </c>
      <c r="J4" s="26" t="s">
        <v>121</v>
      </c>
      <c r="K4" s="26" t="s">
        <v>122</v>
      </c>
      <c r="L4" s="26" t="s">
        <v>123</v>
      </c>
      <c r="M4" s="26" t="s">
        <v>124</v>
      </c>
      <c r="N4" s="26" t="s">
        <v>125</v>
      </c>
      <c r="O4" s="26" t="s">
        <v>126</v>
      </c>
      <c r="P4" s="26" t="s">
        <v>127</v>
      </c>
      <c r="Q4" s="26" t="s">
        <v>128</v>
      </c>
      <c r="R4" s="26" t="s">
        <v>129</v>
      </c>
      <c r="S4" s="26" t="s">
        <v>130</v>
      </c>
      <c r="T4" s="13"/>
    </row>
    <row r="5" spans="1:22" ht="105.6" customHeight="1" x14ac:dyDescent="0.25">
      <c r="A5" s="35"/>
      <c r="B5" s="2" t="s">
        <v>131</v>
      </c>
      <c r="C5" s="26" t="s">
        <v>132</v>
      </c>
      <c r="D5" s="26" t="s">
        <v>132</v>
      </c>
      <c r="E5" s="26" t="s">
        <v>133</v>
      </c>
      <c r="F5" s="26" t="s">
        <v>134</v>
      </c>
      <c r="G5" s="26" t="s">
        <v>135</v>
      </c>
      <c r="H5" s="26" t="s">
        <v>135</v>
      </c>
      <c r="I5" s="26" t="s">
        <v>136</v>
      </c>
      <c r="J5" s="26" t="s">
        <v>135</v>
      </c>
      <c r="K5" s="26" t="s">
        <v>137</v>
      </c>
      <c r="L5" s="26" t="s">
        <v>135</v>
      </c>
      <c r="M5" s="26" t="s">
        <v>138</v>
      </c>
      <c r="N5" s="26" t="s">
        <v>138</v>
      </c>
      <c r="O5" s="26" t="s">
        <v>135</v>
      </c>
      <c r="P5" s="26" t="s">
        <v>139</v>
      </c>
      <c r="Q5" s="26" t="s">
        <v>140</v>
      </c>
      <c r="R5" s="26" t="s">
        <v>135</v>
      </c>
      <c r="S5" s="26" t="s">
        <v>140</v>
      </c>
      <c r="T5" s="13"/>
    </row>
    <row r="6" spans="1:22" ht="45" customHeight="1" x14ac:dyDescent="0.25">
      <c r="A6" s="35"/>
      <c r="B6" s="2" t="s">
        <v>141</v>
      </c>
      <c r="C6" s="26" t="s">
        <v>142</v>
      </c>
      <c r="D6" s="26" t="s">
        <v>143</v>
      </c>
      <c r="E6" s="26" t="s">
        <v>144</v>
      </c>
      <c r="F6" s="26" t="s">
        <v>144</v>
      </c>
      <c r="G6" s="26" t="s">
        <v>144</v>
      </c>
      <c r="H6" s="26" t="s">
        <v>144</v>
      </c>
      <c r="I6" s="26" t="s">
        <v>144</v>
      </c>
      <c r="J6" s="26" t="s">
        <v>27</v>
      </c>
      <c r="K6" s="26" t="s">
        <v>27</v>
      </c>
      <c r="L6" s="26" t="s">
        <v>145</v>
      </c>
      <c r="M6" s="26" t="s">
        <v>144</v>
      </c>
      <c r="N6" s="26" t="s">
        <v>144</v>
      </c>
      <c r="O6" s="26" t="s">
        <v>27</v>
      </c>
      <c r="P6" s="26" t="s">
        <v>144</v>
      </c>
      <c r="Q6" s="26" t="s">
        <v>27</v>
      </c>
      <c r="R6" s="26" t="s">
        <v>27</v>
      </c>
      <c r="S6" s="26" t="s">
        <v>27</v>
      </c>
      <c r="T6" s="13"/>
    </row>
    <row r="7" spans="1:22" ht="14.45" customHeight="1" x14ac:dyDescent="0.25">
      <c r="A7" s="35"/>
      <c r="B7" s="2" t="s">
        <v>146</v>
      </c>
      <c r="C7" s="26" t="s">
        <v>147</v>
      </c>
      <c r="D7" s="26" t="s">
        <v>148</v>
      </c>
      <c r="E7" s="26" t="s">
        <v>149</v>
      </c>
      <c r="F7" s="26" t="s">
        <v>150</v>
      </c>
      <c r="G7" s="26" t="s">
        <v>150</v>
      </c>
      <c r="H7" s="26" t="s">
        <v>150</v>
      </c>
      <c r="I7" s="26" t="s">
        <v>150</v>
      </c>
      <c r="J7" s="26" t="s">
        <v>150</v>
      </c>
      <c r="K7" s="26" t="s">
        <v>151</v>
      </c>
      <c r="L7" s="26" t="s">
        <v>152</v>
      </c>
      <c r="M7" s="26" t="s">
        <v>150</v>
      </c>
      <c r="N7" s="26" t="s">
        <v>150</v>
      </c>
      <c r="O7" s="26" t="s">
        <v>153</v>
      </c>
      <c r="P7" s="26" t="s">
        <v>150</v>
      </c>
      <c r="Q7" s="26" t="s">
        <v>154</v>
      </c>
      <c r="R7" s="26" t="s">
        <v>155</v>
      </c>
      <c r="S7" s="26" t="s">
        <v>156</v>
      </c>
      <c r="T7" s="13"/>
    </row>
    <row r="8" spans="1:22" ht="42" customHeight="1" x14ac:dyDescent="0.25">
      <c r="A8" s="35"/>
      <c r="B8" s="2" t="s">
        <v>157</v>
      </c>
      <c r="C8" s="26" t="s">
        <v>158</v>
      </c>
      <c r="D8" s="26" t="s">
        <v>158</v>
      </c>
      <c r="E8" s="26" t="s">
        <v>159</v>
      </c>
      <c r="F8" s="26" t="s">
        <v>160</v>
      </c>
      <c r="G8" s="26" t="s">
        <v>158</v>
      </c>
      <c r="H8" s="26" t="s">
        <v>161</v>
      </c>
      <c r="I8" s="26" t="s">
        <v>159</v>
      </c>
      <c r="J8" s="26" t="s">
        <v>160</v>
      </c>
      <c r="K8" s="26" t="s">
        <v>160</v>
      </c>
      <c r="L8" s="26" t="s">
        <v>159</v>
      </c>
      <c r="M8" s="26" t="s">
        <v>158</v>
      </c>
      <c r="N8" s="26" t="s">
        <v>158</v>
      </c>
      <c r="O8" s="26" t="s">
        <v>161</v>
      </c>
      <c r="P8" s="26" t="s">
        <v>159</v>
      </c>
      <c r="Q8" s="26" t="s">
        <v>161</v>
      </c>
      <c r="R8" s="26" t="s">
        <v>159</v>
      </c>
      <c r="S8" s="26" t="s">
        <v>161</v>
      </c>
      <c r="T8" s="1" t="s">
        <v>162</v>
      </c>
    </row>
    <row r="9" spans="1:22" ht="42" customHeight="1" x14ac:dyDescent="0.25">
      <c r="A9" s="35"/>
      <c r="B9" s="15" t="s">
        <v>163</v>
      </c>
      <c r="C9" s="26">
        <v>277</v>
      </c>
      <c r="D9" s="26">
        <v>277</v>
      </c>
      <c r="E9" s="26" t="s">
        <v>164</v>
      </c>
      <c r="F9" s="26">
        <v>251</v>
      </c>
      <c r="G9" s="26" t="s">
        <v>165</v>
      </c>
      <c r="H9" s="26" t="s">
        <v>166</v>
      </c>
      <c r="I9" s="26" t="s">
        <v>167</v>
      </c>
      <c r="J9" s="26">
        <v>265</v>
      </c>
      <c r="K9" s="26">
        <v>250</v>
      </c>
      <c r="L9" s="26" t="s">
        <v>168</v>
      </c>
      <c r="M9" s="26" t="s">
        <v>169</v>
      </c>
      <c r="N9" s="26" t="s">
        <v>170</v>
      </c>
      <c r="O9" s="26">
        <v>264</v>
      </c>
      <c r="P9" s="26" t="s">
        <v>171</v>
      </c>
      <c r="Q9" s="26" t="s">
        <v>172</v>
      </c>
      <c r="R9" s="26" t="s">
        <v>173</v>
      </c>
      <c r="S9" s="26" t="s">
        <v>174</v>
      </c>
      <c r="T9" s="1"/>
    </row>
    <row r="10" spans="1:22" ht="89.25" customHeight="1" x14ac:dyDescent="0.25">
      <c r="A10" s="35" t="s">
        <v>175</v>
      </c>
      <c r="B10" s="2" t="s">
        <v>176</v>
      </c>
      <c r="C10" s="26" t="s">
        <v>177</v>
      </c>
      <c r="D10" s="26" t="s">
        <v>178</v>
      </c>
      <c r="E10" s="26" t="s">
        <v>27</v>
      </c>
      <c r="F10" s="26" t="s">
        <v>27</v>
      </c>
      <c r="G10" s="26" t="s">
        <v>27</v>
      </c>
      <c r="H10" s="26" t="s">
        <v>27</v>
      </c>
      <c r="I10" s="26" t="s">
        <v>27</v>
      </c>
      <c r="J10" s="26" t="s">
        <v>27</v>
      </c>
      <c r="K10" s="26" t="s">
        <v>27</v>
      </c>
      <c r="L10" s="26" t="s">
        <v>27</v>
      </c>
      <c r="M10" s="26" t="s">
        <v>27</v>
      </c>
      <c r="N10" s="26" t="s">
        <v>27</v>
      </c>
      <c r="O10" s="26" t="s">
        <v>27</v>
      </c>
      <c r="P10" s="26" t="s">
        <v>27</v>
      </c>
      <c r="Q10" s="26" t="s">
        <v>27</v>
      </c>
      <c r="R10" s="26" t="s">
        <v>27</v>
      </c>
      <c r="S10" s="26" t="s">
        <v>27</v>
      </c>
      <c r="T10" s="1" t="s">
        <v>179</v>
      </c>
    </row>
    <row r="11" spans="1:22" ht="45" x14ac:dyDescent="0.25">
      <c r="A11" s="35"/>
      <c r="B11" s="2" t="s">
        <v>180</v>
      </c>
      <c r="C11" s="26" t="s">
        <v>27</v>
      </c>
      <c r="D11" s="26" t="s">
        <v>27</v>
      </c>
      <c r="E11" s="26" t="s">
        <v>27</v>
      </c>
      <c r="F11" s="26" t="s">
        <v>27</v>
      </c>
      <c r="G11" s="26" t="s">
        <v>27</v>
      </c>
      <c r="H11" s="26" t="s">
        <v>27</v>
      </c>
      <c r="I11" s="26" t="s">
        <v>27</v>
      </c>
      <c r="J11" s="26" t="s">
        <v>27</v>
      </c>
      <c r="K11" s="26" t="s">
        <v>27</v>
      </c>
      <c r="L11" s="26" t="s">
        <v>27</v>
      </c>
      <c r="M11" s="26" t="s">
        <v>27</v>
      </c>
      <c r="N11" s="26" t="s">
        <v>27</v>
      </c>
      <c r="O11" s="26" t="s">
        <v>27</v>
      </c>
      <c r="P11" s="26" t="s">
        <v>27</v>
      </c>
      <c r="Q11" s="26" t="s">
        <v>27</v>
      </c>
      <c r="R11" s="26" t="s">
        <v>27</v>
      </c>
      <c r="S11" s="26" t="s">
        <v>27</v>
      </c>
      <c r="T11" s="1" t="s">
        <v>181</v>
      </c>
    </row>
    <row r="12" spans="1:22" ht="114.75" x14ac:dyDescent="0.25">
      <c r="A12" s="35"/>
      <c r="B12" s="2" t="s">
        <v>182</v>
      </c>
      <c r="C12" s="26" t="s">
        <v>27</v>
      </c>
      <c r="D12" s="26" t="s">
        <v>27</v>
      </c>
      <c r="E12" s="26" t="s">
        <v>183</v>
      </c>
      <c r="F12" s="26" t="s">
        <v>184</v>
      </c>
      <c r="G12" s="26" t="s">
        <v>185</v>
      </c>
      <c r="H12" s="26" t="s">
        <v>186</v>
      </c>
      <c r="I12" s="26" t="s">
        <v>27</v>
      </c>
      <c r="J12" s="26" t="s">
        <v>187</v>
      </c>
      <c r="K12" s="26" t="s">
        <v>188</v>
      </c>
      <c r="L12" s="26" t="s">
        <v>27</v>
      </c>
      <c r="M12" s="26" t="s">
        <v>189</v>
      </c>
      <c r="N12" s="26" t="s">
        <v>190</v>
      </c>
      <c r="O12" s="26" t="s">
        <v>27</v>
      </c>
      <c r="P12" s="26" t="s">
        <v>27</v>
      </c>
      <c r="Q12" s="26" t="s">
        <v>27</v>
      </c>
      <c r="R12" s="26" t="s">
        <v>27</v>
      </c>
      <c r="S12" s="26" t="s">
        <v>27</v>
      </c>
      <c r="T12" s="1" t="s">
        <v>191</v>
      </c>
      <c r="V12" s="2" t="s">
        <v>14</v>
      </c>
    </row>
    <row r="13" spans="1:22" ht="30" x14ac:dyDescent="0.25">
      <c r="A13" s="35"/>
      <c r="B13" s="2" t="s">
        <v>192</v>
      </c>
      <c r="C13" s="26" t="s">
        <v>27</v>
      </c>
      <c r="D13" s="26" t="s">
        <v>27</v>
      </c>
      <c r="E13" s="26" t="s">
        <v>27</v>
      </c>
      <c r="F13" s="26" t="s">
        <v>27</v>
      </c>
      <c r="G13" s="26" t="s">
        <v>27</v>
      </c>
      <c r="H13" s="26" t="s">
        <v>27</v>
      </c>
      <c r="I13" s="26" t="s">
        <v>27</v>
      </c>
      <c r="J13" s="26" t="s">
        <v>27</v>
      </c>
      <c r="K13" s="26" t="s">
        <v>27</v>
      </c>
      <c r="L13" s="26" t="s">
        <v>27</v>
      </c>
      <c r="M13" s="26" t="s">
        <v>27</v>
      </c>
      <c r="N13" s="26" t="s">
        <v>27</v>
      </c>
      <c r="O13" s="26" t="s">
        <v>27</v>
      </c>
      <c r="P13" s="26" t="s">
        <v>27</v>
      </c>
      <c r="Q13" s="26" t="s">
        <v>27</v>
      </c>
      <c r="R13" s="26" t="s">
        <v>27</v>
      </c>
      <c r="S13" s="26" t="s">
        <v>27</v>
      </c>
      <c r="T13" s="1" t="s">
        <v>193</v>
      </c>
    </row>
    <row r="14" spans="1:22" ht="35.450000000000003" customHeight="1" x14ac:dyDescent="0.25">
      <c r="A14" s="35"/>
      <c r="B14" s="2" t="s">
        <v>194</v>
      </c>
      <c r="C14" s="26" t="s">
        <v>195</v>
      </c>
      <c r="D14" s="26" t="s">
        <v>196</v>
      </c>
      <c r="E14" s="26" t="s">
        <v>197</v>
      </c>
      <c r="F14" s="26" t="s">
        <v>198</v>
      </c>
      <c r="G14" s="26" t="s">
        <v>199</v>
      </c>
      <c r="H14" s="26" t="s">
        <v>200</v>
      </c>
      <c r="I14" s="26" t="s">
        <v>199</v>
      </c>
      <c r="J14" s="26" t="s">
        <v>201</v>
      </c>
      <c r="K14" s="26" t="s">
        <v>202</v>
      </c>
      <c r="L14" s="26" t="s">
        <v>203</v>
      </c>
      <c r="M14" s="26" t="s">
        <v>198</v>
      </c>
      <c r="N14" s="26" t="s">
        <v>198</v>
      </c>
      <c r="O14" s="26" t="s">
        <v>27</v>
      </c>
      <c r="P14" s="26" t="s">
        <v>199</v>
      </c>
      <c r="Q14" s="26" t="s">
        <v>27</v>
      </c>
      <c r="R14" s="26" t="s">
        <v>27</v>
      </c>
      <c r="S14" s="26" t="s">
        <v>27</v>
      </c>
      <c r="T14" s="1" t="s">
        <v>204</v>
      </c>
    </row>
    <row r="15" spans="1:22" ht="30" x14ac:dyDescent="0.25">
      <c r="A15" s="35"/>
      <c r="B15" s="2" t="s">
        <v>205</v>
      </c>
      <c r="C15" s="26" t="s">
        <v>27</v>
      </c>
      <c r="D15" s="26" t="s">
        <v>27</v>
      </c>
      <c r="E15" s="26" t="s">
        <v>27</v>
      </c>
      <c r="F15" s="26" t="s">
        <v>27</v>
      </c>
      <c r="G15" s="26" t="s">
        <v>27</v>
      </c>
      <c r="H15" s="26" t="s">
        <v>27</v>
      </c>
      <c r="I15" s="26" t="s">
        <v>27</v>
      </c>
      <c r="J15" s="26" t="s">
        <v>27</v>
      </c>
      <c r="K15" s="26" t="s">
        <v>27</v>
      </c>
      <c r="L15" s="26" t="s">
        <v>27</v>
      </c>
      <c r="M15" s="26" t="s">
        <v>27</v>
      </c>
      <c r="N15" s="26" t="s">
        <v>27</v>
      </c>
      <c r="O15" s="26" t="s">
        <v>27</v>
      </c>
      <c r="P15" s="26" t="s">
        <v>27</v>
      </c>
      <c r="Q15" s="26" t="s">
        <v>27</v>
      </c>
      <c r="R15" s="26" t="s">
        <v>27</v>
      </c>
      <c r="S15" s="26" t="s">
        <v>27</v>
      </c>
      <c r="T15" s="1" t="s">
        <v>206</v>
      </c>
    </row>
    <row r="16" spans="1:22" ht="36.75" customHeight="1" x14ac:dyDescent="0.25">
      <c r="A16" s="35"/>
      <c r="B16" s="21" t="s">
        <v>207</v>
      </c>
      <c r="C16" s="26" t="s">
        <v>208</v>
      </c>
      <c r="D16" s="26" t="s">
        <v>209</v>
      </c>
      <c r="E16" s="26" t="s">
        <v>27</v>
      </c>
      <c r="F16" s="26" t="s">
        <v>210</v>
      </c>
      <c r="G16" s="26" t="s">
        <v>211</v>
      </c>
      <c r="H16" s="26" t="s">
        <v>212</v>
      </c>
      <c r="I16" s="26" t="s">
        <v>213</v>
      </c>
      <c r="J16" s="26" t="s">
        <v>214</v>
      </c>
      <c r="K16" s="26" t="s">
        <v>215</v>
      </c>
      <c r="L16" s="27" t="s">
        <v>216</v>
      </c>
      <c r="M16" s="26" t="s">
        <v>217</v>
      </c>
      <c r="N16" s="26" t="s">
        <v>218</v>
      </c>
      <c r="O16" s="26" t="s">
        <v>219</v>
      </c>
      <c r="P16" s="26" t="s">
        <v>220</v>
      </c>
      <c r="Q16" s="26" t="s">
        <v>27</v>
      </c>
      <c r="R16" s="26" t="s">
        <v>27</v>
      </c>
      <c r="S16" s="26" t="s">
        <v>27</v>
      </c>
      <c r="T16" s="1"/>
    </row>
    <row r="17" spans="1:23" x14ac:dyDescent="0.25">
      <c r="A17" s="35" t="s">
        <v>221</v>
      </c>
      <c r="B17" s="2" t="s">
        <v>222</v>
      </c>
      <c r="C17" s="13" t="s">
        <v>57</v>
      </c>
      <c r="D17" s="13" t="s">
        <v>57</v>
      </c>
      <c r="E17" s="13" t="s">
        <v>57</v>
      </c>
      <c r="F17" s="13" t="s">
        <v>57</v>
      </c>
      <c r="G17" s="13" t="s">
        <v>57</v>
      </c>
      <c r="H17" s="13" t="s">
        <v>57</v>
      </c>
      <c r="I17" s="13" t="s">
        <v>57</v>
      </c>
      <c r="J17" s="13" t="s">
        <v>57</v>
      </c>
      <c r="K17" s="13" t="s">
        <v>57</v>
      </c>
      <c r="L17" s="13" t="s">
        <v>57</v>
      </c>
      <c r="M17" s="13" t="s">
        <v>57</v>
      </c>
      <c r="N17" s="13" t="s">
        <v>57</v>
      </c>
      <c r="O17" s="13" t="s">
        <v>57</v>
      </c>
      <c r="P17" s="13" t="s">
        <v>57</v>
      </c>
      <c r="Q17" s="13" t="s">
        <v>57</v>
      </c>
      <c r="R17" s="13" t="s">
        <v>57</v>
      </c>
      <c r="S17" s="13" t="s">
        <v>57</v>
      </c>
      <c r="T17" s="13"/>
    </row>
    <row r="18" spans="1:23" x14ac:dyDescent="0.25">
      <c r="A18" s="35"/>
      <c r="B18" s="2" t="s">
        <v>223</v>
      </c>
      <c r="C18" s="31" t="s">
        <v>57</v>
      </c>
      <c r="D18" s="31" t="s">
        <v>57</v>
      </c>
      <c r="E18" s="13" t="s">
        <v>57</v>
      </c>
      <c r="F18" s="13" t="s">
        <v>57</v>
      </c>
      <c r="G18" s="13" t="s">
        <v>57</v>
      </c>
      <c r="H18" s="13" t="s">
        <v>57</v>
      </c>
      <c r="I18" s="13" t="s">
        <v>57</v>
      </c>
      <c r="J18" s="13" t="s">
        <v>57</v>
      </c>
      <c r="K18" s="13" t="s">
        <v>57</v>
      </c>
      <c r="L18" s="13" t="s">
        <v>57</v>
      </c>
      <c r="M18" s="13" t="s">
        <v>57</v>
      </c>
      <c r="N18" s="13" t="s">
        <v>57</v>
      </c>
      <c r="O18" s="13" t="s">
        <v>57</v>
      </c>
      <c r="P18" s="13" t="s">
        <v>57</v>
      </c>
      <c r="Q18" s="13" t="s">
        <v>57</v>
      </c>
      <c r="R18" s="13" t="s">
        <v>57</v>
      </c>
      <c r="S18" s="13" t="s">
        <v>57</v>
      </c>
      <c r="T18" s="13"/>
    </row>
    <row r="19" spans="1:23" x14ac:dyDescent="0.25">
      <c r="A19" s="35"/>
      <c r="B19" s="29" t="s">
        <v>224</v>
      </c>
      <c r="C19" s="28" t="s">
        <v>225</v>
      </c>
      <c r="D19" s="28" t="s">
        <v>226</v>
      </c>
      <c r="E19" s="30" t="s">
        <v>57</v>
      </c>
      <c r="F19" s="13" t="s">
        <v>57</v>
      </c>
      <c r="G19" s="13" t="s">
        <v>57</v>
      </c>
      <c r="H19" s="13" t="s">
        <v>57</v>
      </c>
      <c r="I19" s="13" t="s">
        <v>57</v>
      </c>
      <c r="J19" s="13" t="s">
        <v>57</v>
      </c>
      <c r="K19" s="13" t="s">
        <v>57</v>
      </c>
      <c r="L19" s="13" t="s">
        <v>57</v>
      </c>
      <c r="M19" s="13" t="s">
        <v>57</v>
      </c>
      <c r="N19" s="13" t="s">
        <v>57</v>
      </c>
      <c r="O19" s="13" t="s">
        <v>57</v>
      </c>
      <c r="P19" s="13" t="s">
        <v>57</v>
      </c>
      <c r="Q19" s="13" t="s">
        <v>57</v>
      </c>
      <c r="R19" s="13" t="s">
        <v>57</v>
      </c>
      <c r="S19" s="13" t="s">
        <v>57</v>
      </c>
      <c r="T19" s="13"/>
    </row>
    <row r="20" spans="1:23" x14ac:dyDescent="0.25">
      <c r="A20" s="35"/>
      <c r="B20" s="29" t="s">
        <v>227</v>
      </c>
      <c r="C20" s="28" t="s">
        <v>228</v>
      </c>
      <c r="D20" s="28" t="s">
        <v>229</v>
      </c>
      <c r="E20" s="30" t="s">
        <v>57</v>
      </c>
      <c r="F20" s="13" t="s">
        <v>57</v>
      </c>
      <c r="G20" s="13" t="s">
        <v>57</v>
      </c>
      <c r="H20" s="13" t="s">
        <v>57</v>
      </c>
      <c r="I20" s="13" t="s">
        <v>57</v>
      </c>
      <c r="J20" s="13" t="s">
        <v>57</v>
      </c>
      <c r="K20" s="13" t="s">
        <v>57</v>
      </c>
      <c r="L20" s="13" t="s">
        <v>57</v>
      </c>
      <c r="M20" s="13" t="s">
        <v>57</v>
      </c>
      <c r="N20" s="13" t="s">
        <v>57</v>
      </c>
      <c r="O20" s="13" t="s">
        <v>57</v>
      </c>
      <c r="P20" s="13" t="s">
        <v>57</v>
      </c>
      <c r="Q20" s="13" t="s">
        <v>57</v>
      </c>
      <c r="R20" s="13" t="s">
        <v>57</v>
      </c>
      <c r="S20" s="13" t="s">
        <v>57</v>
      </c>
      <c r="T20" s="13"/>
    </row>
    <row r="21" spans="1:23" x14ac:dyDescent="0.25">
      <c r="A21" s="35"/>
      <c r="B21" s="29" t="s">
        <v>230</v>
      </c>
      <c r="C21" s="28" t="s">
        <v>231</v>
      </c>
      <c r="D21" s="28" t="s">
        <v>232</v>
      </c>
      <c r="E21" s="30" t="s">
        <v>57</v>
      </c>
      <c r="F21" s="13" t="s">
        <v>57</v>
      </c>
      <c r="G21" s="13" t="s">
        <v>57</v>
      </c>
      <c r="H21" s="13" t="s">
        <v>57</v>
      </c>
      <c r="I21" s="13" t="s">
        <v>57</v>
      </c>
      <c r="J21" s="13" t="s">
        <v>57</v>
      </c>
      <c r="K21" s="13" t="s">
        <v>57</v>
      </c>
      <c r="L21" s="13" t="s">
        <v>57</v>
      </c>
      <c r="M21" s="13" t="s">
        <v>57</v>
      </c>
      <c r="N21" s="13" t="s">
        <v>57</v>
      </c>
      <c r="O21" s="13" t="s">
        <v>57</v>
      </c>
      <c r="P21" s="13" t="s">
        <v>57</v>
      </c>
      <c r="Q21" s="13" t="s">
        <v>57</v>
      </c>
      <c r="R21" s="13" t="s">
        <v>57</v>
      </c>
      <c r="S21" s="13" t="s">
        <v>57</v>
      </c>
      <c r="T21" s="13"/>
    </row>
    <row r="22" spans="1:23" x14ac:dyDescent="0.25">
      <c r="A22" s="35"/>
      <c r="B22" s="29" t="s">
        <v>233</v>
      </c>
      <c r="C22" s="28" t="s">
        <v>234</v>
      </c>
      <c r="D22" s="28" t="s">
        <v>235</v>
      </c>
      <c r="E22" s="30" t="s">
        <v>57</v>
      </c>
      <c r="F22" s="13" t="s">
        <v>57</v>
      </c>
      <c r="G22" s="13" t="s">
        <v>57</v>
      </c>
      <c r="H22" s="13" t="s">
        <v>57</v>
      </c>
      <c r="I22" s="13" t="s">
        <v>57</v>
      </c>
      <c r="J22" s="13" t="s">
        <v>57</v>
      </c>
      <c r="K22" s="13" t="s">
        <v>57</v>
      </c>
      <c r="L22" s="13" t="s">
        <v>57</v>
      </c>
      <c r="M22" s="13" t="s">
        <v>57</v>
      </c>
      <c r="N22" s="13" t="s">
        <v>57</v>
      </c>
      <c r="O22" s="13" t="s">
        <v>57</v>
      </c>
      <c r="P22" s="13" t="s">
        <v>57</v>
      </c>
      <c r="Q22" s="13" t="s">
        <v>57</v>
      </c>
      <c r="R22" s="13" t="s">
        <v>57</v>
      </c>
      <c r="S22" s="13" t="s">
        <v>57</v>
      </c>
      <c r="T22" s="13"/>
    </row>
    <row r="23" spans="1:23" x14ac:dyDescent="0.25">
      <c r="A23" s="35"/>
      <c r="B23" s="29" t="s">
        <v>236</v>
      </c>
      <c r="C23" s="28" t="s">
        <v>237</v>
      </c>
      <c r="D23" s="28" t="s">
        <v>238</v>
      </c>
      <c r="E23" s="30" t="s">
        <v>57</v>
      </c>
      <c r="F23" s="13" t="s">
        <v>57</v>
      </c>
      <c r="G23" s="13" t="s">
        <v>57</v>
      </c>
      <c r="H23" s="13" t="s">
        <v>57</v>
      </c>
      <c r="I23" s="13" t="s">
        <v>57</v>
      </c>
      <c r="J23" s="13" t="s">
        <v>57</v>
      </c>
      <c r="K23" s="13" t="s">
        <v>57</v>
      </c>
      <c r="L23" s="13" t="s">
        <v>57</v>
      </c>
      <c r="M23" s="13" t="s">
        <v>57</v>
      </c>
      <c r="N23" s="13" t="s">
        <v>57</v>
      </c>
      <c r="O23" s="13" t="s">
        <v>57</v>
      </c>
      <c r="P23" s="13" t="s">
        <v>57</v>
      </c>
      <c r="Q23" s="13" t="s">
        <v>57</v>
      </c>
      <c r="R23" s="13" t="s">
        <v>57</v>
      </c>
      <c r="S23" s="13" t="s">
        <v>57</v>
      </c>
      <c r="T23" s="13"/>
    </row>
    <row r="24" spans="1:23" x14ac:dyDescent="0.25">
      <c r="A24" s="35"/>
      <c r="B24" s="29" t="s">
        <v>239</v>
      </c>
      <c r="C24" s="28" t="s">
        <v>240</v>
      </c>
      <c r="D24" s="28" t="s">
        <v>240</v>
      </c>
      <c r="E24" s="30" t="s">
        <v>57</v>
      </c>
      <c r="F24" s="13" t="s">
        <v>57</v>
      </c>
      <c r="G24" s="13" t="s">
        <v>57</v>
      </c>
      <c r="H24" s="13" t="s">
        <v>57</v>
      </c>
      <c r="I24" s="13" t="s">
        <v>57</v>
      </c>
      <c r="J24" s="13" t="s">
        <v>57</v>
      </c>
      <c r="K24" s="13" t="s">
        <v>57</v>
      </c>
      <c r="L24" s="13" t="s">
        <v>57</v>
      </c>
      <c r="M24" s="13" t="s">
        <v>57</v>
      </c>
      <c r="N24" s="13" t="s">
        <v>57</v>
      </c>
      <c r="O24" s="13" t="s">
        <v>57</v>
      </c>
      <c r="P24" s="13" t="s">
        <v>57</v>
      </c>
      <c r="Q24" s="13" t="s">
        <v>57</v>
      </c>
      <c r="R24" s="13" t="s">
        <v>57</v>
      </c>
      <c r="S24" s="13" t="s">
        <v>57</v>
      </c>
      <c r="T24" s="13"/>
    </row>
    <row r="25" spans="1:23" x14ac:dyDescent="0.25">
      <c r="A25" s="35" t="s">
        <v>241</v>
      </c>
      <c r="B25" s="2" t="s">
        <v>222</v>
      </c>
      <c r="C25" s="32" t="s">
        <v>57</v>
      </c>
      <c r="D25" s="32" t="s">
        <v>57</v>
      </c>
      <c r="E25" s="13" t="s">
        <v>57</v>
      </c>
      <c r="F25" s="13" t="s">
        <v>57</v>
      </c>
      <c r="G25" s="13" t="s">
        <v>57</v>
      </c>
      <c r="H25" s="13" t="s">
        <v>57</v>
      </c>
      <c r="I25" s="13" t="s">
        <v>57</v>
      </c>
      <c r="J25" s="13" t="s">
        <v>57</v>
      </c>
      <c r="K25" s="13" t="s">
        <v>57</v>
      </c>
      <c r="L25" s="13" t="s">
        <v>57</v>
      </c>
      <c r="M25" s="13" t="s">
        <v>57</v>
      </c>
      <c r="N25" s="13" t="s">
        <v>57</v>
      </c>
      <c r="O25" s="13" t="s">
        <v>57</v>
      </c>
      <c r="P25" s="13" t="s">
        <v>57</v>
      </c>
      <c r="Q25" s="13" t="s">
        <v>57</v>
      </c>
      <c r="R25" s="13" t="s">
        <v>57</v>
      </c>
      <c r="S25" s="13" t="s">
        <v>57</v>
      </c>
      <c r="T25" s="13"/>
      <c r="W25" s="2" t="s">
        <v>14</v>
      </c>
    </row>
    <row r="26" spans="1:23" x14ac:dyDescent="0.25">
      <c r="A26" s="35"/>
      <c r="B26" s="2" t="s">
        <v>223</v>
      </c>
      <c r="C26" s="31" t="s">
        <v>57</v>
      </c>
      <c r="D26" s="31" t="s">
        <v>57</v>
      </c>
      <c r="E26" s="13" t="s">
        <v>57</v>
      </c>
      <c r="F26" s="13" t="s">
        <v>57</v>
      </c>
      <c r="G26" s="13" t="s">
        <v>57</v>
      </c>
      <c r="H26" s="13" t="s">
        <v>57</v>
      </c>
      <c r="I26" s="13" t="s">
        <v>57</v>
      </c>
      <c r="J26" s="13" t="s">
        <v>57</v>
      </c>
      <c r="K26" s="13" t="s">
        <v>57</v>
      </c>
      <c r="L26" s="13" t="s">
        <v>57</v>
      </c>
      <c r="M26" s="13" t="s">
        <v>57</v>
      </c>
      <c r="N26" s="13" t="s">
        <v>57</v>
      </c>
      <c r="O26" s="13" t="s">
        <v>57</v>
      </c>
      <c r="P26" s="13" t="s">
        <v>57</v>
      </c>
      <c r="Q26" s="13" t="s">
        <v>57</v>
      </c>
      <c r="R26" s="13" t="s">
        <v>57</v>
      </c>
      <c r="S26" s="13" t="s">
        <v>57</v>
      </c>
      <c r="T26" s="13"/>
    </row>
    <row r="27" spans="1:23" x14ac:dyDescent="0.25">
      <c r="A27" s="35"/>
      <c r="B27" s="29" t="s">
        <v>224</v>
      </c>
      <c r="C27" s="28" t="s">
        <v>242</v>
      </c>
      <c r="D27" s="28" t="s">
        <v>243</v>
      </c>
      <c r="E27" s="30" t="s">
        <v>57</v>
      </c>
      <c r="F27" s="13" t="s">
        <v>57</v>
      </c>
      <c r="G27" s="13" t="s">
        <v>57</v>
      </c>
      <c r="H27" s="13" t="s">
        <v>57</v>
      </c>
      <c r="I27" s="13" t="s">
        <v>57</v>
      </c>
      <c r="J27" s="13" t="s">
        <v>57</v>
      </c>
      <c r="K27" s="13" t="s">
        <v>57</v>
      </c>
      <c r="L27" s="13" t="s">
        <v>57</v>
      </c>
      <c r="M27" s="13" t="s">
        <v>57</v>
      </c>
      <c r="N27" s="13" t="s">
        <v>57</v>
      </c>
      <c r="O27" s="13" t="s">
        <v>57</v>
      </c>
      <c r="P27" s="13" t="s">
        <v>57</v>
      </c>
      <c r="Q27" s="13" t="s">
        <v>57</v>
      </c>
      <c r="R27" s="13" t="s">
        <v>57</v>
      </c>
      <c r="S27" s="13" t="s">
        <v>57</v>
      </c>
      <c r="T27" s="13"/>
    </row>
    <row r="28" spans="1:23" x14ac:dyDescent="0.25">
      <c r="A28" s="35"/>
      <c r="B28" s="29" t="s">
        <v>227</v>
      </c>
      <c r="C28" s="28" t="s">
        <v>244</v>
      </c>
      <c r="D28" s="28" t="s">
        <v>245</v>
      </c>
      <c r="E28" s="30" t="s">
        <v>57</v>
      </c>
      <c r="F28" s="13" t="s">
        <v>57</v>
      </c>
      <c r="G28" s="13" t="s">
        <v>57</v>
      </c>
      <c r="H28" s="13" t="s">
        <v>57</v>
      </c>
      <c r="I28" s="13" t="s">
        <v>57</v>
      </c>
      <c r="J28" s="13" t="s">
        <v>57</v>
      </c>
      <c r="K28" s="13" t="s">
        <v>57</v>
      </c>
      <c r="L28" s="13" t="s">
        <v>57</v>
      </c>
      <c r="M28" s="13" t="s">
        <v>57</v>
      </c>
      <c r="N28" s="13" t="s">
        <v>57</v>
      </c>
      <c r="O28" s="13" t="s">
        <v>57</v>
      </c>
      <c r="P28" s="13" t="s">
        <v>57</v>
      </c>
      <c r="Q28" s="13" t="s">
        <v>57</v>
      </c>
      <c r="R28" s="13" t="s">
        <v>57</v>
      </c>
      <c r="S28" s="13" t="s">
        <v>57</v>
      </c>
      <c r="T28" s="13"/>
    </row>
    <row r="29" spans="1:23" x14ac:dyDescent="0.25">
      <c r="A29" s="35"/>
      <c r="B29" s="29" t="s">
        <v>230</v>
      </c>
      <c r="C29" s="28" t="s">
        <v>246</v>
      </c>
      <c r="D29" s="28" t="s">
        <v>247</v>
      </c>
      <c r="E29" s="30" t="s">
        <v>57</v>
      </c>
      <c r="F29" s="13" t="s">
        <v>57</v>
      </c>
      <c r="G29" s="13" t="s">
        <v>57</v>
      </c>
      <c r="H29" s="13" t="s">
        <v>57</v>
      </c>
      <c r="I29" s="13" t="s">
        <v>57</v>
      </c>
      <c r="J29" s="13" t="s">
        <v>57</v>
      </c>
      <c r="K29" s="13" t="s">
        <v>57</v>
      </c>
      <c r="L29" s="13" t="s">
        <v>57</v>
      </c>
      <c r="M29" s="13" t="s">
        <v>57</v>
      </c>
      <c r="N29" s="13" t="s">
        <v>57</v>
      </c>
      <c r="O29" s="13" t="s">
        <v>57</v>
      </c>
      <c r="P29" s="13" t="s">
        <v>57</v>
      </c>
      <c r="Q29" s="13" t="s">
        <v>57</v>
      </c>
      <c r="R29" s="13" t="s">
        <v>57</v>
      </c>
      <c r="S29" s="13" t="s">
        <v>57</v>
      </c>
      <c r="T29" s="13"/>
    </row>
    <row r="30" spans="1:23" x14ac:dyDescent="0.25">
      <c r="A30" s="35"/>
      <c r="B30" s="29" t="s">
        <v>233</v>
      </c>
      <c r="C30" s="28" t="s">
        <v>248</v>
      </c>
      <c r="D30" s="28" t="s">
        <v>249</v>
      </c>
      <c r="E30" s="30" t="s">
        <v>57</v>
      </c>
      <c r="F30" s="13" t="s">
        <v>57</v>
      </c>
      <c r="G30" s="13" t="s">
        <v>57</v>
      </c>
      <c r="H30" s="13" t="s">
        <v>57</v>
      </c>
      <c r="I30" s="13" t="s">
        <v>57</v>
      </c>
      <c r="J30" s="13" t="s">
        <v>57</v>
      </c>
      <c r="K30" s="13" t="s">
        <v>57</v>
      </c>
      <c r="L30" s="13" t="s">
        <v>57</v>
      </c>
      <c r="M30" s="13" t="s">
        <v>57</v>
      </c>
      <c r="N30" s="13" t="s">
        <v>57</v>
      </c>
      <c r="O30" s="13" t="s">
        <v>57</v>
      </c>
      <c r="P30" s="13" t="s">
        <v>57</v>
      </c>
      <c r="Q30" s="13" t="s">
        <v>57</v>
      </c>
      <c r="R30" s="13" t="s">
        <v>57</v>
      </c>
      <c r="S30" s="13" t="s">
        <v>57</v>
      </c>
      <c r="T30" s="13"/>
    </row>
    <row r="31" spans="1:23" x14ac:dyDescent="0.25">
      <c r="A31" s="35"/>
      <c r="B31" s="29" t="s">
        <v>236</v>
      </c>
      <c r="C31" s="28" t="s">
        <v>250</v>
      </c>
      <c r="D31" s="28" t="s">
        <v>251</v>
      </c>
      <c r="E31" s="30" t="s">
        <v>57</v>
      </c>
      <c r="F31" s="13" t="s">
        <v>57</v>
      </c>
      <c r="G31" s="13" t="s">
        <v>57</v>
      </c>
      <c r="H31" s="13" t="s">
        <v>57</v>
      </c>
      <c r="I31" s="13" t="s">
        <v>57</v>
      </c>
      <c r="J31" s="13" t="s">
        <v>57</v>
      </c>
      <c r="K31" s="13" t="s">
        <v>57</v>
      </c>
      <c r="L31" s="13" t="s">
        <v>57</v>
      </c>
      <c r="M31" s="13" t="s">
        <v>57</v>
      </c>
      <c r="N31" s="13" t="s">
        <v>57</v>
      </c>
      <c r="O31" s="13" t="s">
        <v>57</v>
      </c>
      <c r="P31" s="13" t="s">
        <v>57</v>
      </c>
      <c r="Q31" s="13" t="s">
        <v>57</v>
      </c>
      <c r="R31" s="13" t="s">
        <v>57</v>
      </c>
      <c r="S31" s="13" t="s">
        <v>57</v>
      </c>
      <c r="T31" s="13"/>
    </row>
    <row r="32" spans="1:23" x14ac:dyDescent="0.25">
      <c r="A32" s="35"/>
      <c r="B32" s="29" t="s">
        <v>239</v>
      </c>
      <c r="C32" s="28" t="s">
        <v>252</v>
      </c>
      <c r="D32" s="28" t="s">
        <v>253</v>
      </c>
      <c r="E32" s="30" t="s">
        <v>57</v>
      </c>
      <c r="F32" s="13" t="s">
        <v>57</v>
      </c>
      <c r="G32" s="13" t="s">
        <v>57</v>
      </c>
      <c r="H32" s="13" t="s">
        <v>57</v>
      </c>
      <c r="I32" s="13" t="s">
        <v>57</v>
      </c>
      <c r="J32" s="13" t="s">
        <v>57</v>
      </c>
      <c r="K32" s="13" t="s">
        <v>57</v>
      </c>
      <c r="L32" s="13" t="s">
        <v>57</v>
      </c>
      <c r="M32" s="13" t="s">
        <v>57</v>
      </c>
      <c r="N32" s="13" t="s">
        <v>57</v>
      </c>
      <c r="O32" s="13" t="s">
        <v>57</v>
      </c>
      <c r="P32" s="13" t="s">
        <v>57</v>
      </c>
      <c r="Q32" s="13" t="s">
        <v>57</v>
      </c>
      <c r="R32" s="13" t="s">
        <v>57</v>
      </c>
      <c r="S32" s="13" t="s">
        <v>57</v>
      </c>
      <c r="T32" s="13"/>
    </row>
    <row r="33" spans="1:20" x14ac:dyDescent="0.25">
      <c r="A33" s="35" t="s">
        <v>254</v>
      </c>
      <c r="B33" s="2" t="s">
        <v>255</v>
      </c>
      <c r="C33" s="32" t="s">
        <v>57</v>
      </c>
      <c r="D33" s="32" t="s">
        <v>57</v>
      </c>
      <c r="E33" s="13" t="s">
        <v>57</v>
      </c>
      <c r="F33" s="13" t="s">
        <v>57</v>
      </c>
      <c r="G33" s="13" t="s">
        <v>57</v>
      </c>
      <c r="H33" s="13" t="s">
        <v>57</v>
      </c>
      <c r="I33" s="13" t="s">
        <v>57</v>
      </c>
      <c r="J33" s="13" t="s">
        <v>57</v>
      </c>
      <c r="K33" s="13" t="s">
        <v>57</v>
      </c>
      <c r="L33" s="13" t="s">
        <v>57</v>
      </c>
      <c r="M33" s="13" t="s">
        <v>57</v>
      </c>
      <c r="N33" s="13" t="s">
        <v>57</v>
      </c>
      <c r="O33" s="13" t="s">
        <v>57</v>
      </c>
      <c r="P33" s="13" t="s">
        <v>57</v>
      </c>
      <c r="Q33" s="13" t="s">
        <v>57</v>
      </c>
      <c r="R33" s="13" t="s">
        <v>57</v>
      </c>
      <c r="S33" s="13" t="s">
        <v>57</v>
      </c>
      <c r="T33" s="13"/>
    </row>
    <row r="34" spans="1:20" x14ac:dyDescent="0.25">
      <c r="A34" s="35"/>
      <c r="B34" s="2" t="s">
        <v>256</v>
      </c>
      <c r="C34" s="31" t="s">
        <v>57</v>
      </c>
      <c r="D34" s="31" t="s">
        <v>57</v>
      </c>
      <c r="E34" s="13" t="s">
        <v>57</v>
      </c>
      <c r="F34" s="13" t="s">
        <v>57</v>
      </c>
      <c r="G34" s="13" t="s">
        <v>57</v>
      </c>
      <c r="H34" s="13" t="s">
        <v>57</v>
      </c>
      <c r="I34" s="13" t="s">
        <v>57</v>
      </c>
      <c r="J34" s="13" t="s">
        <v>57</v>
      </c>
      <c r="K34" s="13" t="s">
        <v>57</v>
      </c>
      <c r="L34" s="13" t="s">
        <v>57</v>
      </c>
      <c r="M34" s="13" t="s">
        <v>57</v>
      </c>
      <c r="N34" s="13" t="s">
        <v>57</v>
      </c>
      <c r="O34" s="13" t="s">
        <v>57</v>
      </c>
      <c r="P34" s="13" t="s">
        <v>57</v>
      </c>
      <c r="Q34" s="13" t="s">
        <v>57</v>
      </c>
      <c r="R34" s="13" t="s">
        <v>57</v>
      </c>
      <c r="S34" s="13" t="s">
        <v>57</v>
      </c>
      <c r="T34" s="13"/>
    </row>
    <row r="35" spans="1:20" x14ac:dyDescent="0.25">
      <c r="A35" s="35"/>
      <c r="B35" s="29" t="s">
        <v>257</v>
      </c>
      <c r="C35" s="28" t="s">
        <v>258</v>
      </c>
      <c r="D35" s="28" t="s">
        <v>259</v>
      </c>
      <c r="E35" s="30" t="s">
        <v>57</v>
      </c>
      <c r="F35" s="13" t="s">
        <v>57</v>
      </c>
      <c r="G35" s="13" t="s">
        <v>57</v>
      </c>
      <c r="H35" s="13" t="s">
        <v>57</v>
      </c>
      <c r="I35" s="13" t="s">
        <v>57</v>
      </c>
      <c r="J35" s="13" t="s">
        <v>57</v>
      </c>
      <c r="K35" s="13" t="s">
        <v>57</v>
      </c>
      <c r="L35" s="13" t="s">
        <v>57</v>
      </c>
      <c r="M35" s="13" t="s">
        <v>57</v>
      </c>
      <c r="N35" s="13" t="s">
        <v>57</v>
      </c>
      <c r="O35" s="13" t="s">
        <v>57</v>
      </c>
      <c r="P35" s="13" t="s">
        <v>57</v>
      </c>
      <c r="Q35" s="13" t="s">
        <v>57</v>
      </c>
      <c r="R35" s="13" t="s">
        <v>57</v>
      </c>
      <c r="S35" s="13" t="s">
        <v>57</v>
      </c>
      <c r="T35" s="13"/>
    </row>
    <row r="36" spans="1:20" x14ac:dyDescent="0.25">
      <c r="A36" s="35"/>
      <c r="B36" s="29" t="s">
        <v>260</v>
      </c>
      <c r="C36" s="28" t="s">
        <v>261</v>
      </c>
      <c r="D36" s="28" t="s">
        <v>262</v>
      </c>
      <c r="E36" s="30" t="s">
        <v>57</v>
      </c>
      <c r="F36" s="13" t="s">
        <v>57</v>
      </c>
      <c r="G36" s="13" t="s">
        <v>57</v>
      </c>
      <c r="H36" s="13" t="s">
        <v>57</v>
      </c>
      <c r="I36" s="13" t="s">
        <v>57</v>
      </c>
      <c r="J36" s="13" t="s">
        <v>57</v>
      </c>
      <c r="K36" s="13" t="s">
        <v>57</v>
      </c>
      <c r="L36" s="13" t="s">
        <v>57</v>
      </c>
      <c r="M36" s="13" t="s">
        <v>57</v>
      </c>
      <c r="N36" s="13" t="s">
        <v>57</v>
      </c>
      <c r="O36" s="13" t="s">
        <v>57</v>
      </c>
      <c r="P36" s="13" t="s">
        <v>57</v>
      </c>
      <c r="Q36" s="13" t="s">
        <v>57</v>
      </c>
      <c r="R36" s="13" t="s">
        <v>57</v>
      </c>
      <c r="S36" s="13" t="s">
        <v>57</v>
      </c>
      <c r="T36" s="13"/>
    </row>
    <row r="37" spans="1:20" x14ac:dyDescent="0.25">
      <c r="A37" s="35"/>
      <c r="B37" s="29" t="s">
        <v>263</v>
      </c>
      <c r="C37" s="28" t="s">
        <v>264</v>
      </c>
      <c r="D37" s="28" t="s">
        <v>265</v>
      </c>
      <c r="E37" s="30" t="s">
        <v>57</v>
      </c>
      <c r="F37" s="13" t="s">
        <v>57</v>
      </c>
      <c r="G37" s="13" t="s">
        <v>57</v>
      </c>
      <c r="H37" s="13" t="s">
        <v>57</v>
      </c>
      <c r="I37" s="13" t="s">
        <v>57</v>
      </c>
      <c r="J37" s="13" t="s">
        <v>57</v>
      </c>
      <c r="K37" s="13" t="s">
        <v>57</v>
      </c>
      <c r="L37" s="13" t="s">
        <v>57</v>
      </c>
      <c r="M37" s="13" t="s">
        <v>57</v>
      </c>
      <c r="N37" s="13" t="s">
        <v>57</v>
      </c>
      <c r="O37" s="13" t="s">
        <v>57</v>
      </c>
      <c r="P37" s="13" t="s">
        <v>57</v>
      </c>
      <c r="Q37" s="13" t="s">
        <v>57</v>
      </c>
      <c r="R37" s="13" t="s">
        <v>57</v>
      </c>
      <c r="S37" s="13" t="s">
        <v>57</v>
      </c>
      <c r="T37" s="13"/>
    </row>
    <row r="38" spans="1:20" x14ac:dyDescent="0.25">
      <c r="A38" s="35"/>
      <c r="B38" s="29" t="s">
        <v>266</v>
      </c>
      <c r="C38" s="28" t="s">
        <v>267</v>
      </c>
      <c r="D38" s="28" t="s">
        <v>268</v>
      </c>
      <c r="E38" s="30" t="s">
        <v>57</v>
      </c>
      <c r="F38" s="13" t="s">
        <v>57</v>
      </c>
      <c r="G38" s="13" t="s">
        <v>57</v>
      </c>
      <c r="H38" s="13" t="s">
        <v>57</v>
      </c>
      <c r="I38" s="13" t="s">
        <v>57</v>
      </c>
      <c r="J38" s="13" t="s">
        <v>57</v>
      </c>
      <c r="K38" s="13" t="s">
        <v>57</v>
      </c>
      <c r="L38" s="13" t="s">
        <v>57</v>
      </c>
      <c r="M38" s="13" t="s">
        <v>57</v>
      </c>
      <c r="N38" s="13" t="s">
        <v>57</v>
      </c>
      <c r="O38" s="13" t="s">
        <v>57</v>
      </c>
      <c r="P38" s="13" t="s">
        <v>57</v>
      </c>
      <c r="Q38" s="13" t="s">
        <v>57</v>
      </c>
      <c r="R38" s="13" t="s">
        <v>57</v>
      </c>
      <c r="S38" s="13" t="s">
        <v>57</v>
      </c>
      <c r="T38" s="13"/>
    </row>
    <row r="39" spans="1:20" x14ac:dyDescent="0.25">
      <c r="A39" s="35"/>
      <c r="B39" s="29" t="s">
        <v>269</v>
      </c>
      <c r="C39" s="28" t="s">
        <v>270</v>
      </c>
      <c r="D39" s="28" t="s">
        <v>271</v>
      </c>
      <c r="E39" s="30" t="s">
        <v>57</v>
      </c>
      <c r="F39" s="13" t="s">
        <v>57</v>
      </c>
      <c r="G39" s="13" t="s">
        <v>57</v>
      </c>
      <c r="H39" s="13" t="s">
        <v>57</v>
      </c>
      <c r="I39" s="13" t="s">
        <v>57</v>
      </c>
      <c r="J39" s="13" t="s">
        <v>57</v>
      </c>
      <c r="K39" s="13" t="s">
        <v>57</v>
      </c>
      <c r="L39" s="13" t="s">
        <v>57</v>
      </c>
      <c r="M39" s="13" t="s">
        <v>57</v>
      </c>
      <c r="N39" s="13" t="s">
        <v>57</v>
      </c>
      <c r="O39" s="13" t="s">
        <v>57</v>
      </c>
      <c r="P39" s="13" t="s">
        <v>57</v>
      </c>
      <c r="Q39" s="13" t="s">
        <v>57</v>
      </c>
      <c r="R39" s="13" t="s">
        <v>57</v>
      </c>
      <c r="S39" s="13" t="s">
        <v>57</v>
      </c>
      <c r="T39" s="13"/>
    </row>
    <row r="40" spans="1:20" x14ac:dyDescent="0.25">
      <c r="A40" s="35"/>
      <c r="B40" s="29" t="s">
        <v>272</v>
      </c>
      <c r="C40" s="28" t="s">
        <v>273</v>
      </c>
      <c r="D40" s="28" t="s">
        <v>274</v>
      </c>
      <c r="E40" s="30" t="s">
        <v>57</v>
      </c>
      <c r="F40" s="13" t="s">
        <v>57</v>
      </c>
      <c r="G40" s="13" t="s">
        <v>57</v>
      </c>
      <c r="H40" s="13" t="s">
        <v>57</v>
      </c>
      <c r="I40" s="13" t="s">
        <v>57</v>
      </c>
      <c r="J40" s="13" t="s">
        <v>57</v>
      </c>
      <c r="K40" s="13" t="s">
        <v>57</v>
      </c>
      <c r="L40" s="13" t="s">
        <v>57</v>
      </c>
      <c r="M40" s="13" t="s">
        <v>57</v>
      </c>
      <c r="N40" s="13" t="s">
        <v>57</v>
      </c>
      <c r="O40" s="13" t="s">
        <v>57</v>
      </c>
      <c r="P40" s="13" t="s">
        <v>57</v>
      </c>
      <c r="Q40" s="13" t="s">
        <v>57</v>
      </c>
      <c r="R40" s="13" t="s">
        <v>57</v>
      </c>
      <c r="S40" s="13" t="s">
        <v>57</v>
      </c>
      <c r="T40" s="13"/>
    </row>
    <row r="41" spans="1:20" ht="30" x14ac:dyDescent="0.25">
      <c r="A41" s="35"/>
      <c r="B41" s="2" t="s">
        <v>275</v>
      </c>
      <c r="C41" s="32" t="s">
        <v>27</v>
      </c>
      <c r="D41" s="32"/>
      <c r="E41" s="13" t="s">
        <v>57</v>
      </c>
      <c r="F41" s="13" t="s">
        <v>57</v>
      </c>
      <c r="G41" s="13" t="s">
        <v>57</v>
      </c>
      <c r="H41" s="13" t="s">
        <v>57</v>
      </c>
      <c r="I41" s="13" t="s">
        <v>57</v>
      </c>
      <c r="J41" s="13" t="s">
        <v>57</v>
      </c>
      <c r="K41" s="13" t="s">
        <v>57</v>
      </c>
      <c r="L41" s="13" t="s">
        <v>57</v>
      </c>
      <c r="M41" s="13" t="s">
        <v>57</v>
      </c>
      <c r="N41" s="13" t="s">
        <v>57</v>
      </c>
      <c r="O41" s="13" t="s">
        <v>57</v>
      </c>
      <c r="P41" s="13" t="s">
        <v>57</v>
      </c>
      <c r="Q41" s="13" t="s">
        <v>57</v>
      </c>
      <c r="R41" s="13" t="s">
        <v>57</v>
      </c>
      <c r="S41" s="13" t="s">
        <v>57</v>
      </c>
      <c r="T41" s="13"/>
    </row>
    <row r="42" spans="1:20" ht="30" x14ac:dyDescent="0.25">
      <c r="A42" s="35"/>
      <c r="B42" s="2" t="s">
        <v>276</v>
      </c>
      <c r="C42" s="13" t="s">
        <v>27</v>
      </c>
      <c r="D42" s="13"/>
      <c r="E42" s="13" t="s">
        <v>57</v>
      </c>
      <c r="F42" s="13" t="s">
        <v>57</v>
      </c>
      <c r="G42" s="13" t="s">
        <v>57</v>
      </c>
      <c r="H42" s="13" t="s">
        <v>57</v>
      </c>
      <c r="I42" s="13" t="s">
        <v>57</v>
      </c>
      <c r="J42" s="13" t="s">
        <v>57</v>
      </c>
      <c r="K42" s="13" t="s">
        <v>57</v>
      </c>
      <c r="L42" s="13" t="s">
        <v>57</v>
      </c>
      <c r="M42" s="13" t="s">
        <v>57</v>
      </c>
      <c r="N42" s="13" t="s">
        <v>57</v>
      </c>
      <c r="O42" s="13" t="s">
        <v>57</v>
      </c>
      <c r="P42" s="13" t="s">
        <v>57</v>
      </c>
      <c r="Q42" s="13" t="s">
        <v>57</v>
      </c>
      <c r="R42" s="13" t="s">
        <v>57</v>
      </c>
      <c r="S42" s="13" t="s">
        <v>57</v>
      </c>
      <c r="T42" s="13"/>
    </row>
    <row r="43" spans="1:20" ht="37.5" customHeight="1" x14ac:dyDescent="0.25">
      <c r="A43" s="35" t="s">
        <v>277</v>
      </c>
      <c r="B43" s="2" t="s">
        <v>278</v>
      </c>
      <c r="C43" s="33" t="s">
        <v>279</v>
      </c>
      <c r="D43" s="34"/>
      <c r="E43" s="13" t="s">
        <v>57</v>
      </c>
      <c r="F43" s="13" t="s">
        <v>57</v>
      </c>
      <c r="G43" s="13" t="s">
        <v>57</v>
      </c>
      <c r="H43" s="13" t="s">
        <v>57</v>
      </c>
      <c r="I43" s="13" t="s">
        <v>57</v>
      </c>
      <c r="J43" s="13" t="s">
        <v>57</v>
      </c>
      <c r="K43" s="13" t="s">
        <v>57</v>
      </c>
      <c r="L43" s="13" t="s">
        <v>57</v>
      </c>
      <c r="M43" s="13" t="s">
        <v>57</v>
      </c>
      <c r="N43" s="13" t="s">
        <v>57</v>
      </c>
      <c r="O43" s="13" t="s">
        <v>57</v>
      </c>
      <c r="P43" s="13" t="s">
        <v>57</v>
      </c>
      <c r="Q43" s="13" t="s">
        <v>57</v>
      </c>
      <c r="R43" s="13" t="s">
        <v>57</v>
      </c>
      <c r="S43" s="13" t="s">
        <v>57</v>
      </c>
      <c r="T43" s="13"/>
    </row>
    <row r="44" spans="1:20" ht="48.75" customHeight="1" x14ac:dyDescent="0.25">
      <c r="A44" s="35"/>
      <c r="B44" s="2" t="s">
        <v>280</v>
      </c>
      <c r="C44" s="33" t="s">
        <v>281</v>
      </c>
      <c r="D44" s="34"/>
      <c r="E44" s="13" t="s">
        <v>57</v>
      </c>
      <c r="F44" s="13" t="s">
        <v>57</v>
      </c>
      <c r="G44" s="13" t="s">
        <v>57</v>
      </c>
      <c r="H44" s="13" t="s">
        <v>57</v>
      </c>
      <c r="I44" s="13" t="s">
        <v>57</v>
      </c>
      <c r="J44" s="13" t="s">
        <v>57</v>
      </c>
      <c r="K44" s="13" t="s">
        <v>57</v>
      </c>
      <c r="L44" s="13" t="s">
        <v>57</v>
      </c>
      <c r="M44" s="13" t="s">
        <v>57</v>
      </c>
      <c r="N44" s="13" t="s">
        <v>57</v>
      </c>
      <c r="O44" s="13" t="s">
        <v>57</v>
      </c>
      <c r="P44" s="13" t="s">
        <v>57</v>
      </c>
      <c r="Q44" s="13" t="s">
        <v>57</v>
      </c>
      <c r="R44" s="13" t="s">
        <v>57</v>
      </c>
      <c r="S44" s="13" t="s">
        <v>57</v>
      </c>
      <c r="T44" s="13"/>
    </row>
    <row r="45" spans="1:20" ht="51.75" customHeight="1" x14ac:dyDescent="0.25">
      <c r="A45" s="35"/>
      <c r="B45" s="2" t="s">
        <v>282</v>
      </c>
      <c r="C45" s="33" t="s">
        <v>283</v>
      </c>
      <c r="D45" s="34"/>
      <c r="E45" s="13" t="s">
        <v>57</v>
      </c>
      <c r="F45" s="13" t="s">
        <v>57</v>
      </c>
      <c r="G45" s="13" t="s">
        <v>57</v>
      </c>
      <c r="H45" s="13" t="s">
        <v>57</v>
      </c>
      <c r="I45" s="13" t="s">
        <v>57</v>
      </c>
      <c r="J45" s="13" t="s">
        <v>57</v>
      </c>
      <c r="K45" s="13" t="s">
        <v>57</v>
      </c>
      <c r="L45" s="13" t="s">
        <v>57</v>
      </c>
      <c r="M45" s="13" t="s">
        <v>57</v>
      </c>
      <c r="N45" s="13" t="s">
        <v>57</v>
      </c>
      <c r="O45" s="13" t="s">
        <v>57</v>
      </c>
      <c r="P45" s="13" t="s">
        <v>57</v>
      </c>
      <c r="Q45" s="13" t="s">
        <v>57</v>
      </c>
      <c r="R45" s="13" t="s">
        <v>57</v>
      </c>
      <c r="S45" s="13" t="s">
        <v>57</v>
      </c>
      <c r="T45" s="13"/>
    </row>
    <row r="46" spans="1:20" ht="60" x14ac:dyDescent="0.25">
      <c r="A46" s="35"/>
      <c r="B46" s="2" t="s">
        <v>284</v>
      </c>
      <c r="C46" s="13" t="s">
        <v>285</v>
      </c>
      <c r="D46" s="13"/>
      <c r="E46" s="13" t="s">
        <v>286</v>
      </c>
      <c r="F46" s="13" t="s">
        <v>286</v>
      </c>
      <c r="G46" s="13" t="s">
        <v>286</v>
      </c>
      <c r="H46" s="13" t="s">
        <v>286</v>
      </c>
      <c r="I46" s="13" t="s">
        <v>286</v>
      </c>
      <c r="J46" s="13" t="s">
        <v>286</v>
      </c>
      <c r="K46" s="13" t="s">
        <v>286</v>
      </c>
      <c r="L46" s="13" t="s">
        <v>286</v>
      </c>
      <c r="M46" s="13" t="s">
        <v>286</v>
      </c>
      <c r="N46" s="13" t="s">
        <v>286</v>
      </c>
      <c r="O46" s="13" t="s">
        <v>286</v>
      </c>
      <c r="P46" s="13" t="s">
        <v>286</v>
      </c>
      <c r="Q46" s="13" t="s">
        <v>286</v>
      </c>
      <c r="R46" s="13" t="s">
        <v>286</v>
      </c>
      <c r="S46" s="13" t="s">
        <v>286</v>
      </c>
      <c r="T46" s="13"/>
    </row>
  </sheetData>
  <mergeCells count="9">
    <mergeCell ref="C43:D43"/>
    <mergeCell ref="C44:D44"/>
    <mergeCell ref="C45:D45"/>
    <mergeCell ref="A43:A46"/>
    <mergeCell ref="A3:A9"/>
    <mergeCell ref="A10:A16"/>
    <mergeCell ref="A17:A24"/>
    <mergeCell ref="A25:A32"/>
    <mergeCell ref="A33:A42"/>
  </mergeCells>
  <pageMargins left="0.7" right="0.7" top="0.75" bottom="0.75" header="0.3" footer="0.3"/>
  <pageSetup scale="48"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BB3FD-BE56-426D-92E1-22D4C199E8C3}">
  <sheetPr>
    <pageSetUpPr fitToPage="1"/>
  </sheetPr>
  <dimension ref="A1:D20"/>
  <sheetViews>
    <sheetView tabSelected="1" workbookViewId="0">
      <selection activeCell="C25" sqref="C25"/>
    </sheetView>
  </sheetViews>
  <sheetFormatPr defaultColWidth="8.7109375" defaultRowHeight="15" x14ac:dyDescent="0.25"/>
  <cols>
    <col min="1" max="1" width="87.42578125" style="2" customWidth="1"/>
    <col min="2" max="2" width="21.28515625" style="2" customWidth="1"/>
    <col min="3" max="3" width="59.5703125" style="2" customWidth="1"/>
    <col min="4" max="16384" width="8.7109375" style="2"/>
  </cols>
  <sheetData>
    <row r="1" spans="1:4" x14ac:dyDescent="0.25">
      <c r="A1" s="12"/>
    </row>
    <row r="2" spans="1:4" x14ac:dyDescent="0.25">
      <c r="A2" s="3" t="s">
        <v>287</v>
      </c>
      <c r="B2" s="19" t="s">
        <v>1</v>
      </c>
      <c r="C2" s="19" t="s">
        <v>288</v>
      </c>
    </row>
    <row r="3" spans="1:4" x14ac:dyDescent="0.25">
      <c r="A3" s="2" t="s">
        <v>289</v>
      </c>
      <c r="B3" s="18">
        <v>5890837</v>
      </c>
      <c r="C3" s="4"/>
    </row>
    <row r="4" spans="1:4" x14ac:dyDescent="0.25">
      <c r="A4" s="2" t="s">
        <v>290</v>
      </c>
      <c r="B4" s="6">
        <v>918</v>
      </c>
      <c r="C4" s="4"/>
      <c r="D4" s="2" t="s">
        <v>14</v>
      </c>
    </row>
    <row r="5" spans="1:4" x14ac:dyDescent="0.25">
      <c r="A5" s="2" t="s">
        <v>291</v>
      </c>
      <c r="B5" s="6">
        <v>1123</v>
      </c>
      <c r="C5" s="4"/>
    </row>
    <row r="6" spans="1:4" x14ac:dyDescent="0.25">
      <c r="A6" s="2" t="s">
        <v>292</v>
      </c>
      <c r="B6" s="6">
        <v>372</v>
      </c>
      <c r="C6" s="4"/>
    </row>
    <row r="7" spans="1:4" x14ac:dyDescent="0.25">
      <c r="A7" s="2" t="s">
        <v>293</v>
      </c>
      <c r="B7" s="6">
        <v>30.8</v>
      </c>
      <c r="C7" s="4" t="s">
        <v>294</v>
      </c>
    </row>
    <row r="8" spans="1:4" x14ac:dyDescent="0.25">
      <c r="A8" s="2" t="s">
        <v>295</v>
      </c>
      <c r="B8" s="4" t="s">
        <v>296</v>
      </c>
      <c r="C8" s="4"/>
    </row>
    <row r="9" spans="1:4" x14ac:dyDescent="0.25">
      <c r="A9" s="2" t="s">
        <v>297</v>
      </c>
      <c r="B9" s="17">
        <v>899</v>
      </c>
      <c r="C9" s="4"/>
    </row>
    <row r="10" spans="1:4" x14ac:dyDescent="0.25">
      <c r="A10" s="2" t="s">
        <v>298</v>
      </c>
      <c r="B10" s="17">
        <v>1122.2</v>
      </c>
      <c r="C10" s="4"/>
    </row>
    <row r="11" spans="1:4" ht="16.5" customHeight="1" x14ac:dyDescent="0.25">
      <c r="A11" s="2" t="s">
        <v>299</v>
      </c>
      <c r="B11" s="4" t="s">
        <v>27</v>
      </c>
      <c r="C11" s="4" t="s">
        <v>300</v>
      </c>
    </row>
    <row r="12" spans="1:4" x14ac:dyDescent="0.25">
      <c r="A12" s="2" t="s">
        <v>301</v>
      </c>
      <c r="B12" s="16">
        <v>365.5</v>
      </c>
      <c r="C12" s="4"/>
    </row>
    <row r="13" spans="1:4" x14ac:dyDescent="0.25">
      <c r="A13" s="2" t="s">
        <v>302</v>
      </c>
      <c r="B13" s="16">
        <v>128.41999999999999</v>
      </c>
      <c r="C13" s="4"/>
    </row>
    <row r="14" spans="1:4" x14ac:dyDescent="0.25">
      <c r="A14" s="2" t="s">
        <v>303</v>
      </c>
      <c r="B14" s="16">
        <v>51.4</v>
      </c>
      <c r="C14" s="4"/>
    </row>
    <row r="15" spans="1:4" x14ac:dyDescent="0.25">
      <c r="A15" s="2" t="s">
        <v>304</v>
      </c>
      <c r="B15" s="16">
        <v>32.1</v>
      </c>
      <c r="C15" s="4"/>
    </row>
    <row r="16" spans="1:4" ht="30" x14ac:dyDescent="0.25">
      <c r="A16" s="2" t="s">
        <v>305</v>
      </c>
      <c r="B16" s="4" t="s">
        <v>27</v>
      </c>
      <c r="C16" s="4" t="s">
        <v>300</v>
      </c>
    </row>
    <row r="17" spans="1:3" x14ac:dyDescent="0.25">
      <c r="A17" s="2" t="s">
        <v>306</v>
      </c>
      <c r="B17" s="4">
        <v>0.95</v>
      </c>
      <c r="C17" s="4"/>
    </row>
    <row r="18" spans="1:3" x14ac:dyDescent="0.25">
      <c r="A18" s="2" t="s">
        <v>307</v>
      </c>
      <c r="B18" s="4">
        <v>0</v>
      </c>
      <c r="C18" s="4"/>
    </row>
    <row r="19" spans="1:3" x14ac:dyDescent="0.25">
      <c r="A19" s="2" t="s">
        <v>308</v>
      </c>
      <c r="B19" s="7">
        <v>0</v>
      </c>
      <c r="C19" s="4"/>
    </row>
    <row r="20" spans="1:3" ht="30" x14ac:dyDescent="0.25">
      <c r="A20" s="2" t="s">
        <v>309</v>
      </c>
      <c r="B20" s="4">
        <v>2.71</v>
      </c>
      <c r="C20" s="4" t="s">
        <v>310</v>
      </c>
    </row>
  </sheetData>
  <printOptions horizontalCentered="1"/>
  <pageMargins left="0.25" right="0.25" top="0.25" bottom="0.25" header="0.3" footer="0.3"/>
  <pageSetup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ACB0A1DF4A7E45BBEC948F5F855B78" ma:contentTypeVersion="9" ma:contentTypeDescription="Create a new document." ma:contentTypeScope="" ma:versionID="fe6c4249121b70651c5e9dc12263e442">
  <xsd:schema xmlns:xsd="http://www.w3.org/2001/XMLSchema" xmlns:xs="http://www.w3.org/2001/XMLSchema" xmlns:p="http://schemas.microsoft.com/office/2006/metadata/properties" xmlns:ns2="dd7a9330-e4d1-4d3a-9f0a-edcc72e823ec" xmlns:ns3="f106d400-29c2-45d7-a0fd-a9c264a1d640" targetNamespace="http://schemas.microsoft.com/office/2006/metadata/properties" ma:root="true" ma:fieldsID="3d70ab5c67c9b92c1e92e3c2edf20604" ns2:_="" ns3:_="">
    <xsd:import namespace="dd7a9330-e4d1-4d3a-9f0a-edcc72e823ec"/>
    <xsd:import namespace="f106d400-29c2-45d7-a0fd-a9c264a1d6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7a9330-e4d1-4d3a-9f0a-edcc72e823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06d400-29c2-45d7-a0fd-a9c264a1d6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8E94E8-EAD2-4EC7-AA98-2AF6E87F8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7a9330-e4d1-4d3a-9f0a-edcc72e823ec"/>
    <ds:schemaRef ds:uri="f106d400-29c2-45d7-a0fd-a9c264a1d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C0F364-46D6-44D6-A6B3-E5F1C58953AF}">
  <ds:schemaRefs>
    <ds:schemaRef ds:uri="http://schemas.microsoft.com/office/2006/documentManagement/types"/>
    <ds:schemaRef ds:uri="http://purl.org/dc/terms/"/>
    <ds:schemaRef ds:uri="http://purl.org/dc/dcmitype/"/>
    <ds:schemaRef ds:uri="http://schemas.microsoft.com/office/2006/metadata/properties"/>
    <ds:schemaRef ds:uri="http://purl.org/dc/elements/1.1/"/>
    <ds:schemaRef ds:uri="http://www.w3.org/XML/1998/namespace"/>
    <ds:schemaRef ds:uri="http://schemas.microsoft.com/office/infopath/2007/PartnerControls"/>
    <ds:schemaRef ds:uri="http://schemas.openxmlformats.org/package/2006/metadata/core-properties"/>
    <ds:schemaRef ds:uri="f106d400-29c2-45d7-a0fd-a9c264a1d640"/>
    <ds:schemaRef ds:uri="dd7a9330-e4d1-4d3a-9f0a-edcc72e823ec"/>
  </ds:schemaRefs>
</ds:datastoreItem>
</file>

<file path=customXml/itemProps3.xml><?xml version="1.0" encoding="utf-8"?>
<ds:datastoreItem xmlns:ds="http://schemas.openxmlformats.org/officeDocument/2006/customXml" ds:itemID="{32497C18-9075-43A0-91E5-1C616213FB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Distribution Costs &amp; Plans</vt:lpstr>
      <vt:lpstr>Program Specific</vt:lpstr>
      <vt:lpstr>Customer Data</vt:lpstr>
      <vt:lpstr>'Customer Data'!Print_Area</vt:lpstr>
      <vt:lpstr>'Distribution Costs &amp; Plans'!Print_Titles</vt:lpstr>
      <vt:lpstr>'Program Specific'!Print_Titles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Sierzant, Corinne M</dc:creator>
  <cp:keywords/>
  <dc:description/>
  <cp:lastModifiedBy>Noguera-Zagala, Denise M</cp:lastModifiedBy>
  <cp:revision/>
  <cp:lastPrinted>2022-11-03T20:11:38Z</cp:lastPrinted>
  <dcterms:created xsi:type="dcterms:W3CDTF">2022-03-31T21:50:39Z</dcterms:created>
  <dcterms:modified xsi:type="dcterms:W3CDTF">2022-11-03T20:11:46Z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0x0101005CACB0A1DF4A7E45BBEC948F5F855B78</vt:lpwstr>
  </property>
</Properties>
</file>