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S:\PROJ-FILES\SOMAH00\Reporting\Semi-Annual Expense Report\2025-07\"/>
    </mc:Choice>
  </mc:AlternateContent>
  <xr:revisionPtr revIDLastSave="0" documentId="13_ncr:1_{15AF1599-64A7-421B-B928-4D8D266EA87C}" xr6:coauthVersionLast="47" xr6:coauthVersionMax="47" xr10:uidLastSave="{00000000-0000-0000-0000-000000000000}"/>
  <bookViews>
    <workbookView xWindow="-120" yWindow="-120" windowWidth="29040" windowHeight="15840" tabRatio="744" firstSheet="3" activeTab="7" xr2:uid="{00000000-000D-0000-FFFF-FFFF00000000}"/>
  </bookViews>
  <sheets>
    <sheet name="1. Expenditures" sheetId="1" r:id="rId1"/>
    <sheet name="2. Program Funding" sheetId="22" r:id="rId2"/>
    <sheet name="3. SOMAH Program Admin" sheetId="18" r:id="rId3"/>
    <sheet name="4. SOMAH Marketing &amp; Outreach" sheetId="7" r:id="rId4"/>
    <sheet name="5. SOMAH Workforce Development" sheetId="11" r:id="rId5"/>
    <sheet name="6. SOMAH Technical Assistance" sheetId="13" r:id="rId6"/>
    <sheet name="7. Incentive Payments" sheetId="21" r:id="rId7"/>
    <sheet name="8. IOU Collections Details" sheetId="23" r:id="rId8"/>
  </sheets>
  <definedNames>
    <definedName name="TotalAdminBudget" localSheetId="1">'2. Program Funding'!$M$29</definedName>
    <definedName name="TotalAdminBudget">#REF!</definedName>
    <definedName name="TotalIncentiveBudget" localSheetId="1">'2. Program Funding'!$M$30</definedName>
    <definedName name="TotalIncentiveBudget">#REF!</definedName>
    <definedName name="Z_9D8689BD_5DE1_44EE_AD85_AABB805F8C74_.wvu.Cols" localSheetId="0" hidden="1">'1. Expenditures'!#REF!</definedName>
    <definedName name="Z_9D8689BD_5DE1_44EE_AD85_AABB805F8C74_.wvu.Cols" localSheetId="1" hidden="1">'2. Program Funding'!#REF!</definedName>
  </definedNames>
  <calcPr calcId="191028"/>
  <customWorkbookViews>
    <customWorkbookView name="Sarah Smith - Personal View" guid="{9D8689BD-5DE1-44EE-AD85-AABB805F8C74}" mergeInterval="0" personalView="1" maximized="1" windowWidth="1916" windowHeight="855" tabRatio="790" activeSheetId="2"/>
    <customWorkbookView name="Katrina Morton - Personal View" guid="{524D39D6-D9FA-43B9-A02A-7383F59753BD}" mergeInterval="0" personalView="1" maximized="1" windowWidth="1916" windowHeight="769" tabRatio="79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9" i="23" l="1"/>
  <c r="W17" i="21" l="1"/>
  <c r="E137" i="23"/>
  <c r="E135" i="23"/>
  <c r="E134" i="23"/>
  <c r="E132" i="23"/>
  <c r="E131" i="23"/>
  <c r="E130" i="23"/>
  <c r="E129" i="23"/>
  <c r="E128" i="23"/>
  <c r="E127" i="23"/>
  <c r="E119" i="23"/>
  <c r="E115" i="23"/>
  <c r="E111" i="23"/>
  <c r="E106" i="23"/>
  <c r="E102" i="23"/>
  <c r="E100" i="23"/>
  <c r="E99" i="23"/>
  <c r="E98" i="23"/>
  <c r="E97" i="23"/>
  <c r="E96" i="23"/>
  <c r="E95" i="23"/>
  <c r="E86" i="23"/>
  <c r="E84" i="23"/>
  <c r="E82" i="23"/>
  <c r="C81" i="23"/>
  <c r="E80" i="23" s="1"/>
  <c r="E77" i="23"/>
  <c r="E75" i="23"/>
  <c r="E74" i="23"/>
  <c r="E73" i="23"/>
  <c r="E72" i="23"/>
  <c r="E71" i="23"/>
  <c r="E70" i="23"/>
  <c r="E61" i="23"/>
  <c r="E59" i="23"/>
  <c r="E57" i="23"/>
  <c r="E55" i="23"/>
  <c r="E53" i="23"/>
  <c r="E52" i="23"/>
  <c r="E51" i="23"/>
  <c r="E49" i="23"/>
  <c r="E48" i="23"/>
  <c r="E47" i="23"/>
  <c r="E46" i="23"/>
  <c r="E36" i="23"/>
  <c r="E31" i="23"/>
  <c r="E26" i="23"/>
  <c r="E21" i="23"/>
  <c r="E17" i="23"/>
  <c r="E16" i="23"/>
  <c r="E13" i="23"/>
  <c r="E12" i="23"/>
  <c r="E11" i="23"/>
  <c r="E10" i="23"/>
  <c r="E9" i="23"/>
  <c r="E8" i="23"/>
  <c r="I12" i="22"/>
  <c r="J12" i="22"/>
  <c r="K12" i="22"/>
  <c r="L12" i="22"/>
  <c r="C12" i="22"/>
  <c r="D12" i="22"/>
  <c r="E12" i="22"/>
  <c r="F12" i="22"/>
  <c r="G12" i="22"/>
  <c r="H12" i="22"/>
  <c r="B12" i="22"/>
  <c r="E120" i="23" l="1"/>
  <c r="E88" i="23"/>
  <c r="E63" i="23"/>
  <c r="E39" i="23"/>
  <c r="Q33" i="7" l="1"/>
  <c r="J34" i="7"/>
  <c r="K34" i="7"/>
  <c r="L34" i="7"/>
  <c r="M34" i="7"/>
  <c r="N34" i="7"/>
  <c r="O34" i="7"/>
  <c r="P34" i="7"/>
  <c r="C34" i="7"/>
  <c r="I34" i="7" l="1"/>
  <c r="R12" i="1" l="1"/>
  <c r="H34" i="7" l="1"/>
  <c r="BC26" i="21"/>
  <c r="BC8" i="21"/>
  <c r="BC9" i="21"/>
  <c r="BC10" i="21"/>
  <c r="BC11" i="21"/>
  <c r="BC12" i="21"/>
  <c r="BC13" i="21"/>
  <c r="BC14" i="21"/>
  <c r="BC15" i="21"/>
  <c r="BC16" i="21"/>
  <c r="BC7" i="21"/>
  <c r="AU28" i="21"/>
  <c r="AV28" i="21"/>
  <c r="AW28" i="21"/>
  <c r="AX28" i="21"/>
  <c r="AY28" i="21"/>
  <c r="AZ28" i="21"/>
  <c r="BA28" i="21"/>
  <c r="BB28" i="21"/>
  <c r="AU17" i="21"/>
  <c r="AV17" i="21"/>
  <c r="AW17" i="21"/>
  <c r="AX17" i="21"/>
  <c r="AY17" i="21"/>
  <c r="AZ17" i="21"/>
  <c r="BA17" i="21"/>
  <c r="BB17" i="21"/>
  <c r="P10" i="1"/>
  <c r="Q10" i="1"/>
  <c r="P9" i="1"/>
  <c r="Q9" i="1"/>
  <c r="P8" i="1"/>
  <c r="P7" i="1"/>
  <c r="Q7" i="1"/>
  <c r="P14" i="1"/>
  <c r="Q14" i="1"/>
  <c r="P11" i="13"/>
  <c r="Q11" i="13"/>
  <c r="O26" i="11"/>
  <c r="P26" i="11"/>
  <c r="Q8" i="1"/>
  <c r="O34" i="18"/>
  <c r="P34" i="18"/>
  <c r="Q11" i="1" l="1"/>
  <c r="Q15" i="1" s="1"/>
  <c r="BC23" i="21"/>
  <c r="BC24" i="21"/>
  <c r="BC25" i="21"/>
  <c r="BC27" i="21"/>
  <c r="P11" i="1"/>
  <c r="P15" i="1" s="1"/>
  <c r="H12" i="1" l="1"/>
  <c r="G34" i="7" l="1"/>
  <c r="AR17" i="21" l="1"/>
  <c r="AS17" i="21"/>
  <c r="AT17" i="21"/>
  <c r="AQ17" i="21"/>
  <c r="AN17" i="21"/>
  <c r="AO17" i="21"/>
  <c r="AP17" i="21"/>
  <c r="AM17" i="21"/>
  <c r="AJ17" i="21"/>
  <c r="AK17" i="21"/>
  <c r="AL17" i="21"/>
  <c r="AI17" i="21"/>
  <c r="AF17" i="21"/>
  <c r="AG17" i="21"/>
  <c r="AH17" i="21"/>
  <c r="AE17" i="21"/>
  <c r="AB17" i="21"/>
  <c r="AC17" i="21"/>
  <c r="AD17" i="21"/>
  <c r="AA17" i="21"/>
  <c r="X17" i="21"/>
  <c r="Y17" i="21"/>
  <c r="Z17" i="21"/>
  <c r="G12" i="1" l="1"/>
  <c r="T17" i="21"/>
  <c r="U17" i="21"/>
  <c r="V17" i="21"/>
  <c r="S17" i="21"/>
  <c r="P17" i="21"/>
  <c r="Q17" i="21"/>
  <c r="R17" i="21"/>
  <c r="O17" i="21"/>
  <c r="M17" i="21"/>
  <c r="N17" i="21"/>
  <c r="H17" i="21"/>
  <c r="G17" i="21"/>
  <c r="F17" i="21"/>
  <c r="C17" i="21"/>
  <c r="D17" i="21"/>
  <c r="E17" i="21"/>
  <c r="B17" i="21"/>
  <c r="F34" i="7" l="1"/>
  <c r="F12" i="1"/>
  <c r="L17" i="21" l="1"/>
  <c r="K17" i="21"/>
  <c r="I10" i="21" l="1"/>
  <c r="J10" i="21" l="1"/>
  <c r="J9" i="21"/>
  <c r="J17" i="21" s="1"/>
  <c r="I9" i="21"/>
  <c r="I8" i="21"/>
  <c r="I17" i="21" s="1"/>
  <c r="Q21" i="18" l="1"/>
  <c r="Q19" i="11"/>
  <c r="R8" i="13"/>
  <c r="E34" i="7" l="1"/>
  <c r="A3" i="23"/>
  <c r="A2" i="23"/>
  <c r="A3" i="22" l="1"/>
  <c r="A2" i="22"/>
  <c r="A2" i="18"/>
  <c r="L33" i="22" l="1"/>
  <c r="K33" i="22"/>
  <c r="J33" i="22"/>
  <c r="I33" i="22"/>
  <c r="H33" i="22"/>
  <c r="G33" i="22"/>
  <c r="F33" i="22"/>
  <c r="E33" i="22"/>
  <c r="D33" i="22"/>
  <c r="C33" i="22"/>
  <c r="B33" i="22"/>
  <c r="L32" i="22"/>
  <c r="K32" i="22"/>
  <c r="J32" i="22"/>
  <c r="I32" i="22"/>
  <c r="H32" i="22"/>
  <c r="G32" i="22"/>
  <c r="F32" i="22"/>
  <c r="E32" i="22"/>
  <c r="D32" i="22"/>
  <c r="C32" i="22"/>
  <c r="B32" i="22"/>
  <c r="L31" i="22"/>
  <c r="K31" i="22"/>
  <c r="J31" i="22"/>
  <c r="I31" i="22"/>
  <c r="H31" i="22"/>
  <c r="G31" i="22"/>
  <c r="F31" i="22"/>
  <c r="E31" i="22"/>
  <c r="D31" i="22"/>
  <c r="C31" i="22"/>
  <c r="M31" i="22" s="1"/>
  <c r="B31" i="22"/>
  <c r="L30" i="22"/>
  <c r="K30" i="22"/>
  <c r="J30" i="22"/>
  <c r="I30" i="22"/>
  <c r="H30" i="22"/>
  <c r="G30" i="22"/>
  <c r="F30" i="22"/>
  <c r="E30" i="22"/>
  <c r="D30" i="22"/>
  <c r="C30" i="22"/>
  <c r="B30" i="22"/>
  <c r="L29" i="22"/>
  <c r="K29" i="22"/>
  <c r="J29" i="22"/>
  <c r="I29" i="22"/>
  <c r="H29" i="22"/>
  <c r="G29" i="22"/>
  <c r="F29" i="22"/>
  <c r="E29" i="22"/>
  <c r="D29" i="22"/>
  <c r="C29" i="22"/>
  <c r="B29" i="22"/>
  <c r="L23" i="22"/>
  <c r="K23" i="22"/>
  <c r="J23" i="22"/>
  <c r="I23" i="22"/>
  <c r="H23" i="22"/>
  <c r="G23" i="22"/>
  <c r="F23" i="22"/>
  <c r="E23" i="22"/>
  <c r="D23" i="22"/>
  <c r="C23" i="22"/>
  <c r="B23" i="22"/>
  <c r="L22" i="22"/>
  <c r="K22" i="22"/>
  <c r="J22" i="22"/>
  <c r="I22" i="22"/>
  <c r="H22" i="22"/>
  <c r="G22" i="22"/>
  <c r="F22" i="22"/>
  <c r="E22" i="22"/>
  <c r="D22" i="22"/>
  <c r="C22" i="22"/>
  <c r="B22" i="22"/>
  <c r="L21" i="22"/>
  <c r="K21" i="22"/>
  <c r="J21" i="22"/>
  <c r="I21" i="22"/>
  <c r="H21" i="22"/>
  <c r="G21" i="22"/>
  <c r="F21" i="22"/>
  <c r="E21" i="22"/>
  <c r="D21" i="22"/>
  <c r="C21" i="22"/>
  <c r="B21" i="22"/>
  <c r="L20" i="22"/>
  <c r="K20" i="22"/>
  <c r="J20" i="22"/>
  <c r="I20" i="22"/>
  <c r="H20" i="22"/>
  <c r="G20" i="22"/>
  <c r="F20" i="22"/>
  <c r="E20" i="22"/>
  <c r="D20" i="22"/>
  <c r="C20" i="22"/>
  <c r="B20" i="22"/>
  <c r="L19" i="22"/>
  <c r="K19" i="22"/>
  <c r="J19" i="22"/>
  <c r="I19" i="22"/>
  <c r="H19" i="22"/>
  <c r="H24" i="22" s="1"/>
  <c r="G19" i="22"/>
  <c r="F19" i="22"/>
  <c r="E19" i="22"/>
  <c r="D19" i="22"/>
  <c r="C19" i="22"/>
  <c r="B19" i="22"/>
  <c r="M11" i="22"/>
  <c r="M10" i="22"/>
  <c r="M9" i="22"/>
  <c r="M8" i="22"/>
  <c r="M7" i="22"/>
  <c r="E34" i="22" l="1"/>
  <c r="L24" i="22"/>
  <c r="D24" i="22"/>
  <c r="M22" i="22"/>
  <c r="I34" i="22"/>
  <c r="E24" i="22"/>
  <c r="I24" i="22"/>
  <c r="M21" i="22"/>
  <c r="F34" i="22"/>
  <c r="M30" i="22"/>
  <c r="M12" i="22"/>
  <c r="B24" i="22"/>
  <c r="F24" i="22"/>
  <c r="J24" i="22"/>
  <c r="M20" i="22"/>
  <c r="C34" i="22"/>
  <c r="G34" i="22"/>
  <c r="K34" i="22"/>
  <c r="M33" i="22"/>
  <c r="B34" i="22"/>
  <c r="J34" i="22"/>
  <c r="M19" i="22"/>
  <c r="G24" i="22"/>
  <c r="K24" i="22"/>
  <c r="M23" i="22"/>
  <c r="D34" i="22"/>
  <c r="H34" i="22"/>
  <c r="L34" i="22"/>
  <c r="M32" i="22"/>
  <c r="C24" i="22"/>
  <c r="M29" i="22"/>
  <c r="M24" i="22" l="1"/>
  <c r="M34" i="22"/>
  <c r="R10" i="13" l="1"/>
  <c r="R9" i="13"/>
  <c r="R7" i="13"/>
  <c r="Q25" i="11"/>
  <c r="Q24" i="11"/>
  <c r="Q23" i="11"/>
  <c r="Q22" i="11"/>
  <c r="Q21" i="11"/>
  <c r="Q20" i="11"/>
  <c r="Q33" i="18"/>
  <c r="Q32" i="18"/>
  <c r="Q31" i="18"/>
  <c r="Q30" i="18"/>
  <c r="Q29" i="18"/>
  <c r="Q28" i="18"/>
  <c r="Q27" i="18"/>
  <c r="Q26" i="18"/>
  <c r="Q25" i="18"/>
  <c r="Q24" i="18"/>
  <c r="Q23" i="18"/>
  <c r="Q22" i="18"/>
  <c r="D34" i="7" l="1"/>
  <c r="Q34" i="7" s="1"/>
  <c r="A2" i="21"/>
  <c r="Q32" i="7" l="1"/>
  <c r="Q31" i="7"/>
  <c r="Q28" i="7"/>
  <c r="Q29" i="7"/>
  <c r="Q30" i="7"/>
  <c r="Q27" i="7"/>
  <c r="Q26" i="7"/>
  <c r="Q25" i="7"/>
  <c r="Q24" i="7"/>
  <c r="Q23" i="7"/>
  <c r="Q22" i="7"/>
  <c r="Q21" i="7"/>
  <c r="Q20" i="7"/>
  <c r="D34" i="18" l="1"/>
  <c r="E34" i="18"/>
  <c r="F34" i="18"/>
  <c r="G34" i="18"/>
  <c r="H34" i="18"/>
  <c r="I34" i="18"/>
  <c r="J34" i="18"/>
  <c r="K34" i="18"/>
  <c r="L34" i="18"/>
  <c r="M34" i="18"/>
  <c r="N34" i="18"/>
  <c r="C34" i="18"/>
  <c r="Q34" i="18" l="1"/>
  <c r="C15" i="18"/>
  <c r="D14" i="1" l="1"/>
  <c r="D14" i="11" l="1"/>
  <c r="D16" i="18" l="1"/>
  <c r="D7" i="1" l="1"/>
  <c r="C14" i="11"/>
  <c r="C9" i="1" s="1"/>
  <c r="D16" i="7"/>
  <c r="C16" i="7"/>
  <c r="C8" i="1" s="1"/>
  <c r="C16" i="18"/>
  <c r="D8" i="1" l="1"/>
  <c r="C7" i="1"/>
  <c r="AT28" i="21" l="1"/>
  <c r="AS28" i="21"/>
  <c r="AR28" i="21"/>
  <c r="AQ28" i="21"/>
  <c r="AP28" i="21"/>
  <c r="AO28" i="21"/>
  <c r="AN28" i="21"/>
  <c r="AM28" i="21"/>
  <c r="AL28" i="21"/>
  <c r="AK28" i="21"/>
  <c r="AJ28" i="21"/>
  <c r="AI28" i="21"/>
  <c r="AH28" i="21"/>
  <c r="AG28" i="21"/>
  <c r="AF28" i="21"/>
  <c r="AE28" i="21"/>
  <c r="AD28" i="21"/>
  <c r="AC28" i="21"/>
  <c r="AB28" i="21"/>
  <c r="AA28" i="21"/>
  <c r="Z28" i="21"/>
  <c r="Y28" i="21"/>
  <c r="X28" i="21"/>
  <c r="W28" i="21"/>
  <c r="V28" i="21"/>
  <c r="U28" i="21"/>
  <c r="T28" i="21"/>
  <c r="S28" i="21"/>
  <c r="C28" i="21"/>
  <c r="D28" i="21"/>
  <c r="E28" i="21"/>
  <c r="F28" i="21"/>
  <c r="G28" i="21"/>
  <c r="H28" i="21"/>
  <c r="I28" i="21"/>
  <c r="J28" i="21"/>
  <c r="K28" i="21"/>
  <c r="L28" i="21"/>
  <c r="M28" i="21"/>
  <c r="N28" i="21"/>
  <c r="O28" i="21"/>
  <c r="P28" i="21"/>
  <c r="Q28" i="21"/>
  <c r="R28" i="21"/>
  <c r="B28" i="21"/>
  <c r="A3" i="21"/>
  <c r="A1" i="21"/>
  <c r="A3" i="13"/>
  <c r="A3" i="11"/>
  <c r="A3" i="7"/>
  <c r="BC17" i="21" l="1"/>
  <c r="BC28" i="21"/>
  <c r="E14" i="1"/>
  <c r="G14" i="1"/>
  <c r="H14" i="1"/>
  <c r="I14" i="1"/>
  <c r="J14" i="1"/>
  <c r="K14" i="1"/>
  <c r="L14" i="1"/>
  <c r="M14" i="1"/>
  <c r="N14" i="1"/>
  <c r="O14" i="1"/>
  <c r="C14" i="1"/>
  <c r="A3" i="18" l="1"/>
  <c r="C26" i="11" l="1"/>
  <c r="D9" i="1" l="1"/>
  <c r="O7" i="1" l="1"/>
  <c r="N7" i="1"/>
  <c r="M7" i="1"/>
  <c r="L7" i="1"/>
  <c r="K7" i="1"/>
  <c r="J7" i="1"/>
  <c r="I7" i="1"/>
  <c r="R7" i="1" s="1"/>
  <c r="H7" i="1"/>
  <c r="G7" i="1"/>
  <c r="F7" i="1"/>
  <c r="E7" i="1"/>
  <c r="A1" i="18"/>
  <c r="T7" i="1" l="1"/>
  <c r="T12" i="1"/>
  <c r="C11" i="13" l="1"/>
  <c r="D11" i="13"/>
  <c r="E11" i="13"/>
  <c r="E10" i="1" s="1"/>
  <c r="F11" i="13"/>
  <c r="F10" i="1" s="1"/>
  <c r="G11" i="13"/>
  <c r="G10" i="1" s="1"/>
  <c r="H11" i="13"/>
  <c r="H10" i="1" s="1"/>
  <c r="I11" i="13"/>
  <c r="J11" i="13"/>
  <c r="J10" i="1" s="1"/>
  <c r="K11" i="13"/>
  <c r="K10" i="1" s="1"/>
  <c r="L11" i="13"/>
  <c r="L10" i="1" s="1"/>
  <c r="M11" i="13"/>
  <c r="M10" i="1" s="1"/>
  <c r="N11" i="13"/>
  <c r="N10" i="1" s="1"/>
  <c r="O11" i="13"/>
  <c r="O10" i="1" s="1"/>
  <c r="F8" i="1"/>
  <c r="G8" i="1"/>
  <c r="H8" i="1"/>
  <c r="I8" i="1"/>
  <c r="J8" i="1"/>
  <c r="K8" i="1"/>
  <c r="L8" i="1"/>
  <c r="M8" i="1"/>
  <c r="N8" i="1"/>
  <c r="O8" i="1"/>
  <c r="E8" i="1"/>
  <c r="D26" i="11"/>
  <c r="E26" i="11"/>
  <c r="F9" i="1" s="1"/>
  <c r="F26" i="11"/>
  <c r="G9" i="1" s="1"/>
  <c r="G26" i="11"/>
  <c r="H9" i="1" s="1"/>
  <c r="H26" i="11"/>
  <c r="I26" i="11"/>
  <c r="J9" i="1" s="1"/>
  <c r="J26" i="11"/>
  <c r="K9" i="1" s="1"/>
  <c r="K26" i="11"/>
  <c r="L9" i="1" s="1"/>
  <c r="L26" i="11"/>
  <c r="M9" i="1" s="1"/>
  <c r="M26" i="11"/>
  <c r="N9" i="1" s="1"/>
  <c r="N26" i="11"/>
  <c r="O9" i="1" s="1"/>
  <c r="I9" i="1" l="1"/>
  <c r="Q26" i="11"/>
  <c r="I10" i="1"/>
  <c r="R11" i="13"/>
  <c r="R8" i="1"/>
  <c r="T8" i="1" s="1"/>
  <c r="D10" i="1"/>
  <c r="L11" i="1"/>
  <c r="L15" i="1" s="1"/>
  <c r="H11" i="1"/>
  <c r="H15" i="1" s="1"/>
  <c r="E9" i="1"/>
  <c r="C10" i="1"/>
  <c r="C11" i="1" s="1"/>
  <c r="J11" i="1"/>
  <c r="J15" i="1" s="1"/>
  <c r="F11" i="1"/>
  <c r="M11" i="1"/>
  <c r="M15" i="1" s="1"/>
  <c r="I11" i="1"/>
  <c r="I15" i="1" s="1"/>
  <c r="O11" i="1"/>
  <c r="O15" i="1" s="1"/>
  <c r="K11" i="1"/>
  <c r="K15" i="1" s="1"/>
  <c r="G11" i="1"/>
  <c r="G15" i="1" s="1"/>
  <c r="N11" i="1"/>
  <c r="N15" i="1" s="1"/>
  <c r="R10" i="1" l="1"/>
  <c r="R9" i="1"/>
  <c r="R11" i="1" s="1"/>
  <c r="E11" i="1"/>
  <c r="E15" i="1" s="1"/>
  <c r="T9" i="1"/>
  <c r="T10" i="1"/>
  <c r="D11" i="1"/>
  <c r="A2" i="13"/>
  <c r="A1" i="13"/>
  <c r="A2" i="11"/>
  <c r="A1" i="11"/>
  <c r="D15" i="1" l="1"/>
  <c r="C15" i="1"/>
  <c r="A2" i="7"/>
  <c r="A1" i="7"/>
  <c r="T11" i="1" l="1"/>
  <c r="R13" i="1" l="1"/>
  <c r="F14" i="1" l="1"/>
  <c r="F15" i="1" s="1"/>
  <c r="T13" i="1" l="1"/>
  <c r="R14" i="1"/>
  <c r="T14" i="1" l="1"/>
  <c r="R15" i="1"/>
  <c r="S15" i="1" l="1"/>
  <c r="T15" i="1"/>
</calcChain>
</file>

<file path=xl/sharedStrings.xml><?xml version="1.0" encoding="utf-8"?>
<sst xmlns="http://schemas.openxmlformats.org/spreadsheetml/2006/main" count="632" uniqueCount="377">
  <si>
    <t>SOMAH Program Administrator</t>
  </si>
  <si>
    <t>Table 1. Budget</t>
  </si>
  <si>
    <t>Category</t>
  </si>
  <si>
    <t>Activity Details</t>
  </si>
  <si>
    <t>Total SOMAH Expenses</t>
  </si>
  <si>
    <t>Balance</t>
  </si>
  <si>
    <t>% of Total Admin Budget Spent</t>
  </si>
  <si>
    <t>SOMAH Program Admin</t>
  </si>
  <si>
    <t>Total linked from 3. SOMAH Program Admin tab.</t>
  </si>
  <si>
    <t>SOMAH Marketing, Education &amp; Outreach (ME&amp;O)</t>
  </si>
  <si>
    <t>Total linked from 4. SOMAH Marketing &amp; Outreach tab.</t>
  </si>
  <si>
    <t>SOMAH Workforce Development</t>
  </si>
  <si>
    <t>Total linked from 5. SOMAH Workforce Development tab.</t>
  </si>
  <si>
    <t>SOMAH Technical Assistance</t>
  </si>
  <si>
    <t>Total linked from 6. SOMAH Technical Assistance tab.</t>
  </si>
  <si>
    <t>Subtotal (A7:A10)</t>
  </si>
  <si>
    <t>SOMAH Evaluation Expenses*</t>
  </si>
  <si>
    <t>Expenditures to be entered by Energy Division.</t>
  </si>
  <si>
    <t xml:space="preserve">Investor Owned Utility (IOU) Expenses </t>
  </si>
  <si>
    <t>Expenditures to be entered by the SOMAH PA using the IOU Semi-Annual Expense Report.</t>
  </si>
  <si>
    <t>Subtotal (A12+A13)</t>
  </si>
  <si>
    <t>Total Program Admin Expenditures                               (A11 + A12+ A13)</t>
  </si>
  <si>
    <t>Total SOMAH Admin (Program Admin, ME&amp;O, Workforce Development, Technical Assistance, CPUC Expenses, IOU Expenses).</t>
  </si>
  <si>
    <r>
      <t>*Prior to January 2022, Energy Division staffing costs were included in error under “SOMAH California Public Utilities Commission (CPUC) Expenditures;” CPUC Energy Division staff overseeing SOMAH implementation are not funded through the SOMAH program. Historical amounts are amended to show the expenditures directed by CPUC Energy Division staff to be spent on</t>
    </r>
    <r>
      <rPr>
        <b/>
        <i/>
        <sz val="10"/>
        <rFont val="Calibri"/>
        <family val="2"/>
        <scheme val="minor"/>
      </rPr>
      <t xml:space="preserve"> evaluation activities</t>
    </r>
    <r>
      <rPr>
        <i/>
        <sz val="10"/>
        <rFont val="Calibri"/>
        <family val="2"/>
        <scheme val="minor"/>
      </rPr>
      <t xml:space="preserve"> which are funded by SOMAH program administration funds.</t>
    </r>
  </si>
  <si>
    <t>Table 2. Investor Owned Utility Collections by Collection Year</t>
  </si>
  <si>
    <t xml:space="preserve">Investor Owned Utility </t>
  </si>
  <si>
    <t>Under Collections True-Up*</t>
  </si>
  <si>
    <t>2020**</t>
  </si>
  <si>
    <t>Total</t>
  </si>
  <si>
    <t xml:space="preserve">Pacific Gas and Electric Company (PG&amp;E) </t>
  </si>
  <si>
    <t xml:space="preserve">Southern California Edison (SCE) </t>
  </si>
  <si>
    <t xml:space="preserve">San Diego Gas &amp; Electric Company (SDG&amp;E) </t>
  </si>
  <si>
    <t>PacifiCorp Company</t>
  </si>
  <si>
    <t>Liberty Utilities Company</t>
  </si>
  <si>
    <t>Total Program Budget</t>
  </si>
  <si>
    <t>*Investor Owned Utilities were directed to set aside additional funding in their 2020 Energy Resource Recovery Account (ERRA) and Energy Cost Adjustment Clause (ECAC) Applications to make up for under-collections in the 2016-2019 program years.</t>
  </si>
  <si>
    <t>Table 3. Incentive Budget by Collection Year*</t>
  </si>
  <si>
    <t>Under Collections True-Up</t>
  </si>
  <si>
    <t>Total Incentive Budget</t>
  </si>
  <si>
    <t>Table 4. Administrative Budget by Collection Year*</t>
  </si>
  <si>
    <t>Total Administrative Budget</t>
  </si>
  <si>
    <t xml:space="preserve">*Unspent incentive and administrative funds from previous Collection Years carry over into subsequent years. </t>
  </si>
  <si>
    <t>Table 5. Program Admin Expenditures (April 9, 2018 - March 31, 2019)*</t>
  </si>
  <si>
    <t>SOMAH Program Admin Category</t>
  </si>
  <si>
    <t>Q1 2019</t>
  </si>
  <si>
    <t>Program Management</t>
  </si>
  <si>
    <t>Team meetings, staff management, contracting, customer service, program planning and task order review.</t>
  </si>
  <si>
    <t>Financial Tracking</t>
  </si>
  <si>
    <t>Formulating and tracking budgets, invoicing, forecasts, tracking IOU expenses.</t>
  </si>
  <si>
    <t>Database Management</t>
  </si>
  <si>
    <t>Database design, development, testing and maintenance (PowerClerk, Trade Pro Connect, Salesforce).</t>
  </si>
  <si>
    <t>Program Reporting</t>
  </si>
  <si>
    <t>California DG Stats development and reporting; regulatory work.</t>
  </si>
  <si>
    <t>Application Processing</t>
  </si>
  <si>
    <t>Application process manual and application form development.</t>
  </si>
  <si>
    <t xml:space="preserve">On-site Field Verifications </t>
  </si>
  <si>
    <t>Inspections, Post-Installation Quality Control.</t>
  </si>
  <si>
    <t>Advisory Council</t>
  </si>
  <si>
    <t>Advisory Council selection and development.</t>
  </si>
  <si>
    <t>Program Development</t>
  </si>
  <si>
    <t>Program planning and development.</t>
  </si>
  <si>
    <t>Total Direct Expenses for SOMAH</t>
  </si>
  <si>
    <t>Program Admin Category</t>
  </si>
  <si>
    <t>Q2-Q4 2019</t>
  </si>
  <si>
    <t>PA Comments</t>
  </si>
  <si>
    <t>Timekeeping</t>
  </si>
  <si>
    <t xml:space="preserve">Timekeeping requirements to meet program invcoicing requirements. </t>
  </si>
  <si>
    <t>Program Admin</t>
  </si>
  <si>
    <t xml:space="preserve">Team meetings, staff management, and contracting. </t>
  </si>
  <si>
    <t>Formulating and tracking budgets, invoicing, forecasts, and tracking IOU expenses.</t>
  </si>
  <si>
    <t>Database design, development and maintenance, data system set up.</t>
  </si>
  <si>
    <t>Internal and external reporting, including application tracking, semi-annual progress reports, and semi-annual expense reports.</t>
  </si>
  <si>
    <t xml:space="preserve">Application review team training and application processing. </t>
  </si>
  <si>
    <t>On-site Field Verifications</t>
  </si>
  <si>
    <t>Scheduling, travel and completing on-site field inspections.</t>
  </si>
  <si>
    <t>Quarterly Advisory Council meetings, travel, and coordination with Advisory Council members.</t>
  </si>
  <si>
    <t>Program Planning and Development</t>
  </si>
  <si>
    <t xml:space="preserve">Regulatory tracking and participation, ongoing task order review and development, program planning activities, developing program tools. </t>
  </si>
  <si>
    <t>Bidding Resources</t>
  </si>
  <si>
    <t xml:space="preserve">Development of paper bid template and online bidding tool, maintenance and customer support for bidding tool. </t>
  </si>
  <si>
    <t>Working Group &amp; Public Forums</t>
  </si>
  <si>
    <t xml:space="preserve">Participation in IOU working groups and public forums. </t>
  </si>
  <si>
    <t>Program Quality Assurance and Quality Control (QA/QC)</t>
  </si>
  <si>
    <t>Application QA/QC; Program QA/QC.</t>
  </si>
  <si>
    <t>Worksite Safety Program</t>
  </si>
  <si>
    <t xml:space="preserve">Ongoing worksite safety for contractor training, fielding contractor and trainee questions. </t>
  </si>
  <si>
    <t>Total Expenses for Program Admin</t>
  </si>
  <si>
    <t>Includes totals from 2018 and Q1 of 2019</t>
  </si>
  <si>
    <t xml:space="preserve">* After consultation with Energy Division, the SOMAH Program Administrator updated and expanded the SOMAH Program Admin expenditure categories for Q2 2019 and beyond. Thus, SOMAH Program Admin expenditures for 2018-2019 are reflected in two separate tables, with Table 5 reflecting 2018-Q1 2019 and Table 6 reflecting Q2 2019 and beyond.  </t>
  </si>
  <si>
    <t>SOMAH ME&amp;O Category</t>
  </si>
  <si>
    <t xml:space="preserve">Brand Development </t>
  </si>
  <si>
    <t>Development of brand, logo, name style.</t>
  </si>
  <si>
    <t xml:space="preserve">Website Development &amp; Enhancements </t>
  </si>
  <si>
    <t>Development, maintenance and updates to CALSOMAH.org.</t>
  </si>
  <si>
    <t>Community Based Organizations</t>
  </si>
  <si>
    <t>Coordination with contracted community based organizations.</t>
  </si>
  <si>
    <t xml:space="preserve">Cooperative Marketing Efforts </t>
  </si>
  <si>
    <t>Statewide ME&amp;O, collaboration with other Programs (ESAP, LIWP, EUC, etc.).</t>
  </si>
  <si>
    <t>Conferences</t>
  </si>
  <si>
    <t>Scheduling, preparation and conference attendance, submitting conference proposals, presenting at conferences.</t>
  </si>
  <si>
    <t>ME&amp;O Admin</t>
  </si>
  <si>
    <t>Team meetings for ME&amp;O activities, market assessment study.</t>
  </si>
  <si>
    <t xml:space="preserve">Tenant Engagement </t>
  </si>
  <si>
    <t>Tenant education material development, translation and updates, tenant hotline.</t>
  </si>
  <si>
    <t>Property Owner Engagement</t>
  </si>
  <si>
    <t>Development and maintenance of property owner-facing material, including training and education and digital ads, communication with property owners for SOMAH referrals and program questions.</t>
  </si>
  <si>
    <t xml:space="preserve">Contractor Engagement </t>
  </si>
  <si>
    <t>Development and maintenance of contractor-facing material, including training and education (not including eligibility training) and digital ads. Communication with contractors for SOMAH referrals and program questions.</t>
  </si>
  <si>
    <t xml:space="preserve">Cooperative Marketing Efforts
</t>
  </si>
  <si>
    <t xml:space="preserve">Coordination with other programs and organizations. </t>
  </si>
  <si>
    <t>Scheduling, preparation and attending conferences, submitting conference proposals, presenting at conferences.</t>
  </si>
  <si>
    <t>Tenant Engagement</t>
  </si>
  <si>
    <t xml:space="preserve">Property Owner Engagement </t>
  </si>
  <si>
    <t>Contractor Engagement</t>
  </si>
  <si>
    <t xml:space="preserve">Contractor Training </t>
  </si>
  <si>
    <t>Eligibility Contractor Training webinars, slide preparation and updates.</t>
  </si>
  <si>
    <t>Marketing Collateral Development</t>
  </si>
  <si>
    <t>Development of core ME&amp;O collateral materials, including print, digital, flyers, brochures, tabling materials and presentation decks. Development of outreach materials that community based organizations can use to market to their constituents.</t>
  </si>
  <si>
    <t>Communications</t>
  </si>
  <si>
    <t>Development of mass email communications to inform about program launch, important dates, upcoming events and any changes to the program. Responding to general program inquires.</t>
  </si>
  <si>
    <t>Media</t>
  </si>
  <si>
    <t>Media outreach to promote the launch of the program and success stories; responding to media requests.</t>
  </si>
  <si>
    <t>ME&amp;O Plan Development</t>
  </si>
  <si>
    <t xml:space="preserve">Development of annual marketing plan &amp; budget planning for all ME&amp;O activities. </t>
  </si>
  <si>
    <t>Total Expenses for ME&amp;O</t>
  </si>
  <si>
    <t>ME&amp;O costs for Workforce Development (WFD) are not included in total ME&amp;O costs but are captured in total WFD costs in tab #5.</t>
  </si>
  <si>
    <t xml:space="preserve">* After consultation with Energy Division, the SOMAH Program Administrator updated and expanded the SOMAH Program ME&amp;O expenditure categories for Q2 2019 and beyond. Thus, SOMAH Program ME&amp;O expenditures for 2018-2019 are reflected in two separate tables, with Table 7 reflecting 2018-Q1 2019 and Table 8 reflecting Q2 2019 and beyond.  </t>
  </si>
  <si>
    <t>SOMAH Workforce Development Category</t>
  </si>
  <si>
    <t>Resource and Content Creation</t>
  </si>
  <si>
    <t xml:space="preserve">Creation and maintenance of local hiring plan, job training and work preparedness materials/outreach tools, online training. </t>
  </si>
  <si>
    <t xml:space="preserve">Data and Digital Tools Management </t>
  </si>
  <si>
    <t>Creation and maintenance of SOMAH Job Training Portal, including job training organization directory, resume bank, job board, Customer Relationship Management (CRM) tool, data reporting.</t>
  </si>
  <si>
    <t>Support Services</t>
  </si>
  <si>
    <t xml:space="preserve">Creation and maintenance of Solar Career Training demonstration site, SOMAH curriculum, job connector. </t>
  </si>
  <si>
    <t>Regional Job Training Organization (JTO) Task Force</t>
  </si>
  <si>
    <t>Organization and planning of JTO task force; holding JTO task force meetings.</t>
  </si>
  <si>
    <t>Cooperative Marketing Efforts</t>
  </si>
  <si>
    <t>Coordination of job training organizations/alliances.</t>
  </si>
  <si>
    <t xml:space="preserve">Workshops and Conferences </t>
  </si>
  <si>
    <t>Scheduling, preparation and attending conferences.</t>
  </si>
  <si>
    <t xml:space="preserve">General Administration </t>
  </si>
  <si>
    <t>General administration, team meetings.</t>
  </si>
  <si>
    <t xml:space="preserve">WFD Admin
</t>
  </si>
  <si>
    <t>Organizing and conducting team meetings.</t>
  </si>
  <si>
    <t xml:space="preserve">WFD Resource and Content Creation
</t>
  </si>
  <si>
    <t>Ongoing development of WFD content and resources to support trainees and contractors.</t>
  </si>
  <si>
    <t xml:space="preserve">Regional JTO Task Force
</t>
  </si>
  <si>
    <t>Organization and planning of JTO task force, including holding JTO task force meetings.</t>
  </si>
  <si>
    <t xml:space="preserve">WFD Cooperative Marketing Efforts
</t>
  </si>
  <si>
    <t xml:space="preserve">WFD Workshops and Conferences
</t>
  </si>
  <si>
    <t>Scheduling, preparation and conference attendance.</t>
  </si>
  <si>
    <t xml:space="preserve">Job Training Portal </t>
  </si>
  <si>
    <t xml:space="preserve">Development, maintenance and ongoing customer support of job training portal. </t>
  </si>
  <si>
    <t>Local Hiring Plan Development</t>
  </si>
  <si>
    <t>Development and implementation of Local Hiring Plan.</t>
  </si>
  <si>
    <t>Total Expenses for Workforce Development</t>
  </si>
  <si>
    <t xml:space="preserve">* After consultation with Energy Division, the SOMAH Program Administrator updated and expanded the SOMAH Program WFD expenditure categories for Q2 2019 and beyond. Thus, SOMAH Program WFD expenditures for 2018-2019 are reflected in two separate tables, with Table 9 reflecting 2018-Q1 2019 and Table 10 reflecting Q2 2019 and beyond.   </t>
  </si>
  <si>
    <t>Table 11. Technical Assistance (TA) Expenditures</t>
  </si>
  <si>
    <t>SOMAH Technical Assistance/Construction Bid Processing Category</t>
  </si>
  <si>
    <t>Financial TA</t>
  </si>
  <si>
    <t>Providing financial technical assistance.</t>
  </si>
  <si>
    <t>Pre-Installation TA</t>
  </si>
  <si>
    <t>Providing upfront technical assistance, standard technical assistance, and energy efficiency field verifications.</t>
  </si>
  <si>
    <t xml:space="preserve">PV Post-Installation
</t>
  </si>
  <si>
    <t>Providing general billing education sessions and phone support, system, performance monitoring and feedback, fault detection, and utility bill monitoring, surveying.</t>
  </si>
  <si>
    <t>Energy Efficiency and Other Related Leveraging Activities</t>
  </si>
  <si>
    <t>Facilitating coordination with other programs and funding sources available to projects, referrals and program research.</t>
  </si>
  <si>
    <t>Total Expenses for Technical Assistance</t>
  </si>
  <si>
    <t>Table 12. Actual Incentive Payments</t>
  </si>
  <si>
    <t>IOU Territory</t>
  </si>
  <si>
    <t>Q4 2019</t>
  </si>
  <si>
    <t xml:space="preserve">Q1 2020 </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</si>
  <si>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</si>
  <si>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</si>
  <si>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</si>
  <si>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</si>
  <si>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</si>
  <si>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</si>
  <si>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</si>
  <si>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</si>
  <si>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</si>
  <si>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</si>
  <si>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</si>
  <si>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</si>
  <si>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</si>
  <si>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</si>
  <si>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</si>
  <si>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</si>
  <si>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</si>
  <si>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</si>
  <si>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</si>
  <si>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</si>
  <si>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</si>
  <si>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</si>
  <si>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</si>
  <si>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</si>
  <si>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</si>
  <si>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</si>
  <si>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</si>
  <si>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</si>
  <si>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</si>
  <si>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</si>
  <si>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</si>
  <si>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</si>
  <si>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Q2 2028</t>
  </si>
  <si>
    <t>Q3 2028</t>
  </si>
  <si>
    <t>Q4 2028</t>
  </si>
  <si>
    <t>Q1 2029</t>
  </si>
  <si>
    <t>Q2 2029</t>
  </si>
  <si>
    <t>Q3 2029</t>
  </si>
  <si>
    <t>Q4 2029</t>
  </si>
  <si>
    <t>Q1 2030</t>
  </si>
  <si>
    <t>Q2 2030</t>
  </si>
  <si>
    <t>Q3 2030</t>
  </si>
  <si>
    <t>Q4 2030</t>
  </si>
  <si>
    <t xml:space="preserve">Total </t>
  </si>
  <si>
    <t>PG&amp;E Final Incentive</t>
  </si>
  <si>
    <t>PG&amp;E Progress Payments*</t>
  </si>
  <si>
    <t>SCE Final Incentive</t>
  </si>
  <si>
    <t>SCE Progress Payments*</t>
  </si>
  <si>
    <t>SDG&amp;E Final Incentive</t>
  </si>
  <si>
    <t>SDG&amp;E Progress Payments*</t>
  </si>
  <si>
    <t>PacifiCorp Final Incentive</t>
  </si>
  <si>
    <t>PacifiCorp Progress Payments*</t>
  </si>
  <si>
    <t>Liberty  Final Incentive</t>
  </si>
  <si>
    <t>Liberty  Progress Payments*</t>
  </si>
  <si>
    <t>Total Incentive Payments</t>
  </si>
  <si>
    <t>* The SOMAH Program offers a Progress Payment option to receive 60% of the total reserved incentive once the system is installed and is mechanically complete, in advance of receiving Permission to Operate from the IOU. This option enables partial recoupment of the system and installation costs before the completion of the IOU interconnection process, the SOMAH application process, and the final incentive payment.</t>
  </si>
  <si>
    <t>Table 13. Forecasted Incentive Payments</t>
  </si>
  <si>
    <t xml:space="preserve">PG&amp;E </t>
  </si>
  <si>
    <t xml:space="preserve">SCE </t>
  </si>
  <si>
    <t xml:space="preserve">SDG&amp;E </t>
  </si>
  <si>
    <t xml:space="preserve">PacifiCorp </t>
  </si>
  <si>
    <t xml:space="preserve">Liberty </t>
  </si>
  <si>
    <t>Total Forecasted Incentive Payments</t>
  </si>
  <si>
    <t xml:space="preserve">Table 14. Pacific Gas &amp; Electric Collections </t>
  </si>
  <si>
    <t xml:space="preserve">CPUC Decision Number </t>
  </si>
  <si>
    <t>Set-Aside or True-up</t>
  </si>
  <si>
    <t>Actual Set-Aside</t>
  </si>
  <si>
    <t>Calendar Year ERRA Forecast</t>
  </si>
  <si>
    <t>Actual Set-Aside by Collection Year</t>
  </si>
  <si>
    <t>D.20-02-047</t>
  </si>
  <si>
    <t>2016 Set-Aside</t>
  </si>
  <si>
    <t>2017 Set-Aside</t>
  </si>
  <si>
    <t>2018 Set-Aside</t>
  </si>
  <si>
    <t>2019 Set-Aside</t>
  </si>
  <si>
    <t>2016-2019 True-Up</t>
  </si>
  <si>
    <t>Under Collections True-Up 2016-19</t>
  </si>
  <si>
    <t>Q1 2020 Set-Aside*</t>
  </si>
  <si>
    <t>Q2 2020 Set-Aside*</t>
  </si>
  <si>
    <t>D.20-12-038</t>
  </si>
  <si>
    <t>Q3-Q4 2020 Set-Aside**</t>
  </si>
  <si>
    <t>Q1 2021 Set-Aside***</t>
  </si>
  <si>
    <t xml:space="preserve">Q2 2021 Set-Aside </t>
  </si>
  <si>
    <t>Q3 2021 Set-Aside</t>
  </si>
  <si>
    <t>Q4 2021 Set-Aside</t>
  </si>
  <si>
    <t xml:space="preserve">D.22-02-002 </t>
  </si>
  <si>
    <t>2020 True-Up</t>
  </si>
  <si>
    <t>Q1 2022 Set-Aside</t>
  </si>
  <si>
    <t xml:space="preserve">Q2 2022 Set-Aside </t>
  </si>
  <si>
    <t>Q3 2022 Set-Aside</t>
  </si>
  <si>
    <t>Q4 2022 Set-Aside</t>
  </si>
  <si>
    <t>Total PG&amp;E Collections</t>
  </si>
  <si>
    <t xml:space="preserve">*PG&amp;E Q1-Q2 2020 funding was based on quarterly GHG revenue actuals. </t>
  </si>
  <si>
    <t>**PG&amp;E Q3-Q4 funding was based on the GHG revenue forecasted funds, and was released in Q1 2021</t>
  </si>
  <si>
    <t xml:space="preserve">***PG&amp;E 2021 Set-Aside was based on the GHG revenue forecasted funds, and was released quarterly. </t>
  </si>
  <si>
    <t>Table 15. Southern California Edison Collections</t>
  </si>
  <si>
    <t>D.20-01-022</t>
  </si>
  <si>
    <t>Q1-Q2 2020 Set-Aside*</t>
  </si>
  <si>
    <t>2021 Set-Aside***</t>
  </si>
  <si>
    <t xml:space="preserve">D.22-01-003 </t>
  </si>
  <si>
    <t xml:space="preserve">2021 True-up                  </t>
  </si>
  <si>
    <t>2022 Set-Aside</t>
  </si>
  <si>
    <t>Total SCE Collections</t>
  </si>
  <si>
    <t xml:space="preserve">*SCE Q1-Q2 2020 funding was based on quarterly GHG revenue forecasted funds. </t>
  </si>
  <si>
    <t>**SCE Q3-Q4 2020 Set-Aside was based on the GHG revenue forecasted funds, and was released in Q1 2021.</t>
  </si>
  <si>
    <t>***SCE 2021 Set-Aside was based on the GHG revenue forecasted funds, and was released in Q1 2021.</t>
  </si>
  <si>
    <t>Table 16. San Diego Gas &amp; Electric Collections</t>
  </si>
  <si>
    <t>D.20-01-005</t>
  </si>
  <si>
    <t>D.21-01-017</t>
  </si>
  <si>
    <t>Q4 2019 True-Up</t>
  </si>
  <si>
    <t>Q1-Q2 2020 True-Up</t>
  </si>
  <si>
    <t>D.21-12-040</t>
  </si>
  <si>
    <t>Total SDG&amp;E Collections</t>
  </si>
  <si>
    <t xml:space="preserve">*SDG&amp;E Q1-Q2 2020 funding was based on quarterly GHG revenue forecasted funds. </t>
  </si>
  <si>
    <t>**SDG&amp;E Q3-Q4 2020 Set-Aside was based on the GHG revenue forecasted funds, and was released in Q1 2021.</t>
  </si>
  <si>
    <t>***SDG&amp;E 2021 Set-Aside was based on the GHG revenue forecasted funds, and was released in Q1 2021.</t>
  </si>
  <si>
    <t>Table 17. PacifiCorp Company Collections</t>
  </si>
  <si>
    <t>Calendar Year ECAC Forecast</t>
  </si>
  <si>
    <t xml:space="preserve">D.20-05-011 </t>
  </si>
  <si>
    <t>D.21-03-007</t>
  </si>
  <si>
    <t>D.22-03-014</t>
  </si>
  <si>
    <t>Total PacifiCorp Company Collections</t>
  </si>
  <si>
    <t xml:space="preserve">*PacifiCorp Q1-Q2 2020 funding was based on quarterly GHG revenue actuals. </t>
  </si>
  <si>
    <t xml:space="preserve">**PacifiCorp Q3-Q4 2020 funding was based on quarterly GHG revenue actuals, and was released in Q2 2021. </t>
  </si>
  <si>
    <t xml:space="preserve">***PacifiCorp 2021 Set-Aside was based on the GHG revenue forecasted funds, and was released quarterly. </t>
  </si>
  <si>
    <t>Table 18. Liberty Utilities Company Collections</t>
  </si>
  <si>
    <t>Actual Set-Aside per Calendar Year</t>
  </si>
  <si>
    <t>D.20-05-044</t>
  </si>
  <si>
    <t>D.21-05-005</t>
  </si>
  <si>
    <t xml:space="preserve">*Liberty Q1-Q2 2020 funding was based on quarterly GHG revenue forecasted funds. </t>
  </si>
  <si>
    <t>**Liberty Q3-Q4 2020 Set-Aside was based on the GHG revenue forecasted funds, and was released in Q2 2021.</t>
  </si>
  <si>
    <t>***Liberty 2021 Set-Aside was based on the GHG revenue forecasted funds, and was released in Q2 2021.</t>
  </si>
  <si>
    <t>Q1 2022 Set-Aside***</t>
  </si>
  <si>
    <t>D.22-09-013</t>
  </si>
  <si>
    <t>2022***</t>
  </si>
  <si>
    <t>**2020 Collections for PacifiCorp Company and Liberty Utilities Company only represent the first half of Calendar Year 2020. The second half of Calendar Year 2020 was included in the 2021 ECAC Applications.</t>
  </si>
  <si>
    <t>D.23-03-008</t>
  </si>
  <si>
    <t>Q1 2023 Set-Aside</t>
  </si>
  <si>
    <t>Q2 2023 Set-Aside</t>
  </si>
  <si>
    <t>Q3 2023 Set-Aside</t>
  </si>
  <si>
    <t>Q4 2023 Set-Aside</t>
  </si>
  <si>
    <t>2021 True-Up</t>
  </si>
  <si>
    <t>D.22-12-044</t>
  </si>
  <si>
    <t>D.22-12-012</t>
  </si>
  <si>
    <t>2023 Set-Aside</t>
  </si>
  <si>
    <t>D.22-12-042</t>
  </si>
  <si>
    <t>D.20-12-035</t>
  </si>
  <si>
    <t>2022 True-Up</t>
  </si>
  <si>
    <t>Q1 2024 Set-Aside</t>
  </si>
  <si>
    <t>Q2 2024 Set-Aside</t>
  </si>
  <si>
    <t>D.15-12-033</t>
  </si>
  <si>
    <t>D.16-12-054</t>
  </si>
  <si>
    <t>D.17-12-018</t>
  </si>
  <si>
    <t>D.19-02-024</t>
  </si>
  <si>
    <t>2018 True-Up</t>
  </si>
  <si>
    <t>2019/2020 True-up</t>
  </si>
  <si>
    <t>2022 True-up</t>
  </si>
  <si>
    <t>D.23-11-094</t>
  </si>
  <si>
    <t>2024 Set-Aside</t>
  </si>
  <si>
    <t>D.17-12-014</t>
  </si>
  <si>
    <t>D.18-12-016</t>
  </si>
  <si>
    <t>Q4 2020 True-Up</t>
  </si>
  <si>
    <t>D.18-03-024</t>
  </si>
  <si>
    <t>Q4 2020 True Up</t>
  </si>
  <si>
    <t>D.24-02-021</t>
  </si>
  <si>
    <t>2022 True Up</t>
  </si>
  <si>
    <t>Q1 2031</t>
  </si>
  <si>
    <t>Q1 2032</t>
  </si>
  <si>
    <t>Q2 2031</t>
  </si>
  <si>
    <t>Q3 2031</t>
  </si>
  <si>
    <t>Q4 2031</t>
  </si>
  <si>
    <t>Q2 2032</t>
  </si>
  <si>
    <t>Q3 2032</t>
  </si>
  <si>
    <t>Q4 2032</t>
  </si>
  <si>
    <t>Q3 2024 Set-Aside</t>
  </si>
  <si>
    <t>Q4 2024 Set-Aside</t>
  </si>
  <si>
    <t xml:space="preserve">D.23-12-021 </t>
  </si>
  <si>
    <t>D.24-03-011</t>
  </si>
  <si>
    <t>Table 6. Program Admin Expenditures (April 1, 2019 - December 31, 2032)*</t>
  </si>
  <si>
    <t>Table 8. Marketing, Education &amp; Outreach (ME&amp;O) Expenditures (April 1, 2019 - December 31, 2032)*</t>
  </si>
  <si>
    <t>Table 10. Workforce Development (WFD) Expenditures (April 1, 2019 - December 31, 2032)*</t>
  </si>
  <si>
    <t>Table 7. Marketing, Education &amp; Outreach (ME&amp;O) Expenditures (April 9, 2018 - March 31, 2019)*</t>
  </si>
  <si>
    <t>Table 9. Workforce Development (WFD) Expenditures (April 9, 2018 - March 31, 2019)*</t>
  </si>
  <si>
    <t>Liberty and PacifiCorp ME&amp;O**</t>
  </si>
  <si>
    <t>Liberty and PacifiCorp territory ME&amp;O efforts</t>
  </si>
  <si>
    <t xml:space="preserve">** As an outcome of D.24.11-006, tracking for the Liberty and PacifiCorp ME&amp;O efforts starts in 2025 and is set to end at the conclusion of 2029. </t>
  </si>
  <si>
    <t>Reporting Date: July 31, 2025</t>
  </si>
  <si>
    <t>Reporting Data Through: June 30, 2025</t>
  </si>
  <si>
    <t>D.22-12-043</t>
  </si>
  <si>
    <t>2023 True-Up</t>
  </si>
  <si>
    <t>Q1 2025 Set-Aside</t>
  </si>
  <si>
    <t>Q2 2025 Set-Aside</t>
  </si>
  <si>
    <t>Final 2023 True-up</t>
  </si>
  <si>
    <t>D.24-12-039</t>
  </si>
  <si>
    <t>2024 True-up</t>
  </si>
  <si>
    <t>2025 Set-Aside</t>
  </si>
  <si>
    <t>D.24-12-040</t>
  </si>
  <si>
    <t>2022 True-Up Correction****</t>
  </si>
  <si>
    <t>D.25-03-007</t>
  </si>
  <si>
    <t>Columns AJ-BB hidden until needed</t>
  </si>
  <si>
    <t>D.23-12-022</t>
  </si>
  <si>
    <t>D.24-12-038</t>
  </si>
  <si>
    <t>CPUC Decision Number</t>
  </si>
  <si>
    <t>***Decision (D.) 22-09-009 amended D.17-12-022, for the SOMAH forecast budgeting process. Each IOU can propose to set aside 10% or their proportionate share of $100 million for SOMAH, whichever is less, if they adequately show that the IOUs' collective revenue from the sale of greenhouse gas allowances defined in Public Util. Code Section 748.5 will equal or exceed $100 million. The SOMAH PA releases funds based on the IOUs’ set-asides, then trues-up the final three months of the year once the IOUs submit their Joint Advice Letter. 2022 figures were amended through a true-up filed in 2023 for the 2024 forecast year; more detail can be seen on "Sheet 8. IOU Collections Details", Tables 14 - 18.</t>
  </si>
  <si>
    <t>Total Liberty Utilities Company Collections****</t>
  </si>
  <si>
    <t>****Liberty collections for 2024-2025 remain pending a CPUC Decision on Liberty’s 2024 ECAC Application, A.24-04-010, anticipated no later than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</si>
</sst>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0.0%"/>
    <numFmt numFmtId="166" formatCode="&quot;$&quot;#,##0.00"/>
  </numFmts>
  <fonts count="31" x14ac:knownFonts="1">
    <font>
      <sz val="11"/>
      <color theme="1"/>
      <name val="Calibri"/>
      <family val="2"/>
      <scheme val="minor"/>
    </font>
    <font>
      <sz val="11"/>
      <color theme="1"/>
      <name val="Calibri"/>
      <family val="2"/>
      <scheme val="minor"/>
    </font>
    <font>
      <sz val="12"/>
      <name val="Calibri"/>
      <family val="2"/>
      <scheme val="minor"/>
    </font>
    <font>
      <sz val="12"/>
      <color theme="1"/>
      <name val="Calibri"/>
      <family val="2"/>
      <scheme val="minor"/>
    </font>
    <font>
      <sz val="12"/>
      <color theme="0"/>
      <name val="Calibri"/>
      <family val="2"/>
      <scheme val="minor"/>
    </font>
    <font>
      <sz val="10"/>
      <name val="Calibri"/>
      <family val="2"/>
      <scheme val="minor"/>
    </font>
    <font>
      <b/>
      <sz val="10"/>
      <name val="Calibri"/>
      <family val="2"/>
      <scheme val="minor"/>
    </font>
    <font>
      <sz val="10"/>
      <name val="Arial"/>
      <family val="2"/>
    </font>
    <font>
      <sz val="9"/>
      <name val="Arial"/>
      <family val="2"/>
    </font>
    <font>
      <sz val="10"/>
      <color indexed="10"/>
      <name val="Calibri"/>
      <family val="2"/>
      <scheme val="minor"/>
    </font>
    <font>
      <sz val="11"/>
      <name val="Calibri"/>
      <family val="2"/>
      <scheme val="minor"/>
    </font>
    <font>
      <i/>
      <sz val="11"/>
      <name val="Calibri"/>
      <family val="2"/>
      <scheme val="minor"/>
    </font>
    <font>
      <b/>
      <i/>
      <sz val="11"/>
      <name val="Calibri"/>
      <family val="2"/>
      <scheme val="minor"/>
    </font>
    <font>
      <b/>
      <sz val="12"/>
      <color indexed="8"/>
      <name val="Calibri"/>
      <family val="2"/>
      <scheme val="minor"/>
    </font>
    <font>
      <b/>
      <sz val="12"/>
      <name val="Calibri"/>
      <family val="2"/>
      <scheme val="minor"/>
    </font>
    <font>
      <i/>
      <sz val="10"/>
      <name val="Calibri"/>
      <family val="2"/>
      <scheme val="minor"/>
    </font>
    <font>
      <sz val="10"/>
      <color theme="0"/>
      <name val="Calibri"/>
      <family val="2"/>
      <scheme val="minor"/>
    </font>
    <font>
      <b/>
      <sz val="10"/>
      <color theme="0"/>
      <name val="Calibri"/>
      <family val="2"/>
      <scheme val="minor"/>
    </font>
    <font>
      <sz val="10"/>
      <color indexed="8"/>
      <name val="Calibri"/>
      <family val="2"/>
      <scheme val="minor"/>
    </font>
    <font>
      <sz val="10"/>
      <color theme="1"/>
      <name val="Calibri"/>
      <family val="2"/>
      <scheme val="minor"/>
    </font>
    <font>
      <b/>
      <sz val="10"/>
      <color indexed="8"/>
      <name val="Calibri"/>
      <family val="2"/>
      <scheme val="minor"/>
    </font>
    <font>
      <i/>
      <sz val="11"/>
      <color theme="1"/>
      <name val="Calibri"/>
      <family val="2"/>
      <scheme val="minor"/>
    </font>
    <font>
      <i/>
      <sz val="10"/>
      <color theme="1"/>
      <name val="Calibri"/>
      <family val="2"/>
      <scheme val="minor"/>
    </font>
    <font>
      <b/>
      <i/>
      <sz val="10"/>
      <name val="Calibri"/>
      <family val="2"/>
      <scheme val="minor"/>
    </font>
    <font>
      <sz val="9"/>
      <name val="Calibri"/>
      <family val="2"/>
      <scheme val="minor"/>
    </font>
    <font>
      <sz val="9"/>
      <color theme="1"/>
      <name val="Calibri"/>
      <family val="2"/>
      <scheme val="minor"/>
    </font>
    <font>
      <b/>
      <sz val="12"/>
      <color theme="1"/>
      <name val="Calibri"/>
      <family val="2"/>
      <scheme val="minor"/>
    </font>
    <font>
      <b/>
      <sz val="10"/>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lightUp"/>
    </fill>
    <fill>
      <patternFill patternType="solid">
        <fgColor theme="6"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44" fontId="7" fillId="0" borderId="0" applyFont="0" applyFill="0" applyBorder="0" applyAlignment="0" applyProtection="0"/>
    <xf numFmtId="0" fontId="8" fillId="0" borderId="0"/>
    <xf numFmtId="0" fontId="7" fillId="0" borderId="0"/>
    <xf numFmtId="44" fontId="8" fillId="0" borderId="0" applyFont="0" applyFill="0" applyBorder="0" applyAlignment="0" applyProtection="0"/>
    <xf numFmtId="44" fontId="1" fillId="0" borderId="0" applyFont="0" applyFill="0" applyBorder="0" applyAlignment="0" applyProtection="0"/>
    <xf numFmtId="0" fontId="7" fillId="0" borderId="0"/>
    <xf numFmtId="43" fontId="1" fillId="0" borderId="0" applyFont="0" applyFill="0" applyBorder="0" applyAlignment="0" applyProtection="0"/>
    <xf numFmtId="0" fontId="7" fillId="0" borderId="0"/>
  </cellStyleXfs>
  <cellXfs count="268">
    <xf numFmtId="0" fontId="0" fillId="0" borderId="0" xfId="0"/>
    <xf numFmtId="0" fontId="2" fillId="0" borderId="0" xfId="0" applyFont="1" applyAlignment="1">
      <alignment horizontal="left"/>
    </xf>
    <xf numFmtId="0" fontId="2" fillId="0" borderId="0" xfId="0" applyFont="1"/>
    <xf numFmtId="0" fontId="3" fillId="0" borderId="0" xfId="0" applyFont="1"/>
    <xf numFmtId="0" fontId="4" fillId="0" borderId="0" xfId="0" applyFont="1"/>
    <xf numFmtId="0" fontId="5" fillId="0" borderId="0" xfId="0" applyFont="1" applyAlignment="1">
      <alignment horizontal="left"/>
    </xf>
    <xf numFmtId="0" fontId="5" fillId="0" borderId="0" xfId="0" applyFont="1"/>
    <xf numFmtId="164" fontId="5" fillId="0" borderId="1" xfId="2" applyNumberFormat="1" applyFont="1" applyFill="1" applyBorder="1" applyAlignment="1">
      <alignment vertical="top" wrapText="1"/>
    </xf>
    <xf numFmtId="44" fontId="0" fillId="0" borderId="0" xfId="2" applyFont="1" applyBorder="1"/>
    <xf numFmtId="164" fontId="0" fillId="0" borderId="0" xfId="0" applyNumberFormat="1"/>
    <xf numFmtId="44" fontId="0" fillId="0" borderId="0" xfId="0" applyNumberFormat="1"/>
    <xf numFmtId="164" fontId="10" fillId="0" borderId="11" xfId="0" applyNumberFormat="1" applyFont="1" applyBorder="1" applyAlignment="1">
      <alignment horizontal="left" wrapText="1"/>
    </xf>
    <xf numFmtId="164" fontId="10" fillId="0" borderId="0" xfId="0" applyNumberFormat="1" applyFont="1"/>
    <xf numFmtId="0" fontId="13" fillId="2" borderId="8" xfId="0" applyFont="1" applyFill="1" applyBorder="1" applyAlignment="1">
      <alignment horizontal="left" vertical="top"/>
    </xf>
    <xf numFmtId="0" fontId="2" fillId="2" borderId="2" xfId="0" applyFont="1" applyFill="1" applyBorder="1" applyAlignment="1">
      <alignment horizontal="center"/>
    </xf>
    <xf numFmtId="0" fontId="14" fillId="2" borderId="5" xfId="0" applyFont="1" applyFill="1" applyBorder="1" applyAlignment="1">
      <alignment horizontal="left"/>
    </xf>
    <xf numFmtId="164" fontId="2" fillId="2" borderId="6" xfId="0" applyNumberFormat="1" applyFont="1" applyFill="1" applyBorder="1"/>
    <xf numFmtId="0" fontId="14" fillId="2" borderId="6" xfId="0" applyFont="1" applyFill="1" applyBorder="1" applyAlignment="1">
      <alignment horizontal="center"/>
    </xf>
    <xf numFmtId="164" fontId="14" fillId="2" borderId="10" xfId="0" applyNumberFormat="1" applyFont="1" applyFill="1" applyBorder="1" applyAlignment="1">
      <alignment horizontal="center"/>
    </xf>
    <xf numFmtId="0" fontId="6" fillId="0" borderId="0" xfId="0" applyFont="1" applyAlignment="1">
      <alignment vertical="top"/>
    </xf>
    <xf numFmtId="164" fontId="6" fillId="0" borderId="0" xfId="2" applyNumberFormat="1" applyFont="1" applyFill="1" applyBorder="1" applyAlignment="1">
      <alignment vertical="top" wrapText="1"/>
    </xf>
    <xf numFmtId="165" fontId="5" fillId="0" borderId="0" xfId="1" applyNumberFormat="1" applyFont="1" applyFill="1" applyBorder="1" applyAlignment="1">
      <alignment horizontal="left" vertical="top"/>
    </xf>
    <xf numFmtId="164" fontId="6" fillId="0" borderId="0" xfId="0" applyNumberFormat="1" applyFont="1"/>
    <xf numFmtId="0" fontId="6" fillId="0" borderId="0" xfId="0" applyFont="1"/>
    <xf numFmtId="0" fontId="9" fillId="0" borderId="0" xfId="0" applyFont="1" applyAlignment="1">
      <alignment horizontal="left" indent="1"/>
    </xf>
    <xf numFmtId="164" fontId="2" fillId="0" borderId="0" xfId="0" applyNumberFormat="1" applyFont="1"/>
    <xf numFmtId="164" fontId="5" fillId="0" borderId="0" xfId="0" applyNumberFormat="1" applyFont="1"/>
    <xf numFmtId="0" fontId="15" fillId="0" borderId="0" xfId="0" applyFont="1" applyAlignment="1">
      <alignment horizontal="center" wrapText="1"/>
    </xf>
    <xf numFmtId="0" fontId="16" fillId="0" borderId="0" xfId="0" applyFont="1"/>
    <xf numFmtId="10" fontId="5" fillId="0" borderId="0" xfId="1" applyNumberFormat="1" applyFont="1"/>
    <xf numFmtId="0" fontId="6" fillId="2" borderId="8" xfId="0" applyFont="1" applyFill="1" applyBorder="1" applyAlignment="1">
      <alignment vertical="top"/>
    </xf>
    <xf numFmtId="0" fontId="6" fillId="2" borderId="10" xfId="0" applyFont="1" applyFill="1" applyBorder="1" applyAlignment="1">
      <alignment horizontal="center" vertical="top" wrapText="1"/>
    </xf>
    <xf numFmtId="164" fontId="5" fillId="0" borderId="0" xfId="2" applyNumberFormat="1" applyFont="1" applyFill="1" applyBorder="1" applyAlignment="1">
      <alignment vertical="top" wrapText="1"/>
    </xf>
    <xf numFmtId="164" fontId="5" fillId="0" borderId="11" xfId="2" applyNumberFormat="1" applyFont="1" applyFill="1" applyBorder="1" applyAlignment="1">
      <alignment vertical="top" wrapText="1"/>
    </xf>
    <xf numFmtId="0" fontId="6" fillId="2" borderId="6" xfId="0" applyFont="1" applyFill="1" applyBorder="1" applyAlignment="1">
      <alignment horizontal="center" vertical="top"/>
    </xf>
    <xf numFmtId="0" fontId="6" fillId="2" borderId="6" xfId="0" applyFont="1" applyFill="1" applyBorder="1" applyAlignment="1">
      <alignment horizontal="center" vertical="top" wrapText="1"/>
    </xf>
    <xf numFmtId="164" fontId="5" fillId="0" borderId="6" xfId="2" applyNumberFormat="1" applyFont="1" applyFill="1" applyBorder="1" applyAlignment="1">
      <alignment vertical="top" wrapText="1"/>
    </xf>
    <xf numFmtId="164" fontId="5" fillId="0" borderId="4" xfId="2" applyNumberFormat="1" applyFont="1" applyFill="1" applyBorder="1" applyAlignment="1">
      <alignment vertical="top" wrapText="1"/>
    </xf>
    <xf numFmtId="0" fontId="6" fillId="4" borderId="8" xfId="0" applyFont="1" applyFill="1" applyBorder="1" applyAlignment="1">
      <alignment vertical="top"/>
    </xf>
    <xf numFmtId="0" fontId="19" fillId="0" borderId="0" xfId="0" applyFont="1"/>
    <xf numFmtId="0" fontId="20" fillId="2" borderId="8" xfId="0" applyFont="1" applyFill="1" applyBorder="1" applyAlignment="1">
      <alignment horizontal="left" vertical="top"/>
    </xf>
    <xf numFmtId="164" fontId="19" fillId="0" borderId="0" xfId="0" applyNumberFormat="1" applyFont="1"/>
    <xf numFmtId="164" fontId="5" fillId="6" borderId="11" xfId="0" applyNumberFormat="1" applyFont="1" applyFill="1" applyBorder="1"/>
    <xf numFmtId="0" fontId="6" fillId="2" borderId="8" xfId="0" applyFont="1" applyFill="1" applyBorder="1" applyAlignment="1">
      <alignment horizontal="center" vertical="top"/>
    </xf>
    <xf numFmtId="164" fontId="5" fillId="6" borderId="12" xfId="0" applyNumberFormat="1" applyFont="1" applyFill="1" applyBorder="1"/>
    <xf numFmtId="44" fontId="2" fillId="2" borderId="6" xfId="0" applyNumberFormat="1" applyFont="1" applyFill="1" applyBorder="1"/>
    <xf numFmtId="0" fontId="14" fillId="2" borderId="13" xfId="0" applyFont="1" applyFill="1" applyBorder="1" applyAlignment="1">
      <alignment horizontal="left"/>
    </xf>
    <xf numFmtId="164" fontId="5" fillId="7" borderId="12" xfId="2" applyNumberFormat="1" applyFont="1" applyFill="1" applyBorder="1" applyAlignment="1">
      <alignment vertical="top" wrapText="1"/>
    </xf>
    <xf numFmtId="0" fontId="6" fillId="2" borderId="8" xfId="0" applyFont="1" applyFill="1" applyBorder="1" applyAlignment="1">
      <alignment vertical="top" wrapText="1"/>
    </xf>
    <xf numFmtId="164" fontId="5" fillId="7" borderId="21" xfId="2" applyNumberFormat="1" applyFont="1" applyFill="1" applyBorder="1" applyAlignment="1">
      <alignment vertical="top" wrapText="1"/>
    </xf>
    <xf numFmtId="164" fontId="5" fillId="6" borderId="21" xfId="0" applyNumberFormat="1" applyFont="1" applyFill="1" applyBorder="1"/>
    <xf numFmtId="0" fontId="11" fillId="0" borderId="1" xfId="0" applyFont="1" applyBorder="1" applyAlignment="1">
      <alignment horizontal="center" wrapText="1"/>
    </xf>
    <xf numFmtId="0" fontId="0" fillId="0" borderId="1" xfId="0" applyBorder="1"/>
    <xf numFmtId="44" fontId="11" fillId="7" borderId="11" xfId="6" applyFont="1" applyFill="1" applyBorder="1" applyAlignment="1">
      <alignment horizontal="center" vertical="center" wrapText="1"/>
    </xf>
    <xf numFmtId="44" fontId="21" fillId="7" borderId="11" xfId="6" applyFont="1" applyFill="1" applyBorder="1"/>
    <xf numFmtId="44" fontId="12" fillId="7" borderId="11" xfId="6" applyFont="1" applyFill="1" applyBorder="1" applyAlignment="1">
      <alignment horizontal="left" wrapText="1"/>
    </xf>
    <xf numFmtId="44" fontId="11" fillId="7" borderId="1" xfId="6" applyFont="1" applyFill="1" applyBorder="1" applyAlignment="1">
      <alignment horizontal="center" vertical="center" wrapText="1"/>
    </xf>
    <xf numFmtId="44" fontId="21" fillId="7" borderId="3" xfId="6" applyFont="1" applyFill="1" applyBorder="1"/>
    <xf numFmtId="44" fontId="11" fillId="7" borderId="11" xfId="6" applyFont="1" applyFill="1" applyBorder="1" applyAlignment="1">
      <alignment horizontal="left" wrapText="1"/>
    </xf>
    <xf numFmtId="44" fontId="21" fillId="7" borderId="1" xfId="6" applyFont="1" applyFill="1" applyBorder="1"/>
    <xf numFmtId="44" fontId="11" fillId="7" borderId="1" xfId="6" applyFont="1" applyFill="1" applyBorder="1" applyAlignment="1">
      <alignment horizontal="left" wrapText="1"/>
    </xf>
    <xf numFmtId="44" fontId="11" fillId="7" borderId="12" xfId="6" applyFont="1" applyFill="1" applyBorder="1" applyAlignment="1">
      <alignment horizontal="left" wrapText="1"/>
    </xf>
    <xf numFmtId="44" fontId="21" fillId="7" borderId="12" xfId="6" applyFont="1" applyFill="1" applyBorder="1"/>
    <xf numFmtId="0" fontId="25" fillId="0" borderId="0" xfId="0" applyFont="1"/>
    <xf numFmtId="164" fontId="10" fillId="0" borderId="7" xfId="0" applyNumberFormat="1" applyFont="1" applyBorder="1" applyAlignment="1">
      <alignment horizontal="left" wrapText="1"/>
    </xf>
    <xf numFmtId="0" fontId="6" fillId="8" borderId="6" xfId="0" applyFont="1" applyFill="1" applyBorder="1" applyAlignment="1">
      <alignment horizontal="center" vertical="top" wrapText="1"/>
    </xf>
    <xf numFmtId="164" fontId="5" fillId="8" borderId="11" xfId="2" applyNumberFormat="1" applyFont="1" applyFill="1" applyBorder="1" applyAlignment="1">
      <alignment vertical="top" wrapText="1"/>
    </xf>
    <xf numFmtId="164" fontId="5" fillId="8" borderId="1" xfId="2" applyNumberFormat="1" applyFont="1" applyFill="1" applyBorder="1" applyAlignment="1">
      <alignment vertical="top" wrapText="1"/>
    </xf>
    <xf numFmtId="164" fontId="5" fillId="8" borderId="4" xfId="2" applyNumberFormat="1" applyFont="1" applyFill="1" applyBorder="1" applyAlignment="1">
      <alignment vertical="top" wrapText="1"/>
    </xf>
    <xf numFmtId="164" fontId="5" fillId="8" borderId="6" xfId="2" applyNumberFormat="1" applyFont="1" applyFill="1" applyBorder="1" applyAlignment="1">
      <alignment vertical="top" wrapText="1"/>
    </xf>
    <xf numFmtId="164" fontId="5" fillId="8" borderId="12" xfId="2" applyNumberFormat="1" applyFont="1" applyFill="1" applyBorder="1" applyAlignment="1">
      <alignment vertical="top" wrapText="1"/>
    </xf>
    <xf numFmtId="164" fontId="5" fillId="8" borderId="21" xfId="2" applyNumberFormat="1" applyFont="1" applyFill="1" applyBorder="1" applyAlignment="1">
      <alignment vertical="top" wrapText="1"/>
    </xf>
    <xf numFmtId="0" fontId="6" fillId="2" borderId="23" xfId="0" applyFont="1" applyFill="1" applyBorder="1" applyAlignment="1">
      <alignment horizontal="center"/>
    </xf>
    <xf numFmtId="0" fontId="6" fillId="5" borderId="23" xfId="0" applyFont="1" applyFill="1" applyBorder="1" applyAlignment="1">
      <alignment horizontal="center"/>
    </xf>
    <xf numFmtId="164" fontId="6" fillId="2" borderId="6" xfId="6" applyNumberFormat="1" applyFont="1" applyFill="1" applyBorder="1" applyAlignment="1">
      <alignment vertical="top" wrapText="1"/>
    </xf>
    <xf numFmtId="164" fontId="6" fillId="8" borderId="6" xfId="6" applyNumberFormat="1" applyFont="1" applyFill="1" applyBorder="1" applyAlignment="1">
      <alignment vertical="top" wrapText="1"/>
    </xf>
    <xf numFmtId="0" fontId="2" fillId="2" borderId="1" xfId="0" applyFont="1" applyFill="1" applyBorder="1" applyAlignment="1">
      <alignment horizontal="center"/>
    </xf>
    <xf numFmtId="164" fontId="14" fillId="2" borderId="9" xfId="0" applyNumberFormat="1" applyFont="1" applyFill="1" applyBorder="1"/>
    <xf numFmtId="164" fontId="14" fillId="2" borderId="6" xfId="0" applyNumberFormat="1" applyFont="1" applyFill="1" applyBorder="1"/>
    <xf numFmtId="164" fontId="15" fillId="7" borderId="11" xfId="2" applyNumberFormat="1" applyFont="1" applyFill="1" applyBorder="1" applyAlignment="1">
      <alignment vertical="top" wrapText="1"/>
    </xf>
    <xf numFmtId="164" fontId="15" fillId="7" borderId="1" xfId="2" applyNumberFormat="1" applyFont="1" applyFill="1" applyBorder="1" applyAlignment="1">
      <alignment vertical="top" wrapText="1"/>
    </xf>
    <xf numFmtId="164" fontId="15" fillId="7" borderId="4" xfId="2" applyNumberFormat="1" applyFont="1" applyFill="1" applyBorder="1" applyAlignment="1">
      <alignment vertical="top" wrapText="1"/>
    </xf>
    <xf numFmtId="44" fontId="21" fillId="7" borderId="11" xfId="6" applyFont="1" applyFill="1" applyBorder="1" applyAlignment="1">
      <alignment vertical="center"/>
    </xf>
    <xf numFmtId="44" fontId="21" fillId="7" borderId="3" xfId="6" applyFont="1" applyFill="1" applyBorder="1" applyAlignment="1">
      <alignment vertical="center"/>
    </xf>
    <xf numFmtId="44" fontId="21" fillId="7" borderId="1" xfId="6" applyFont="1" applyFill="1" applyBorder="1" applyAlignment="1">
      <alignment vertical="center"/>
    </xf>
    <xf numFmtId="164" fontId="2" fillId="2" borderId="6" xfId="0" applyNumberFormat="1" applyFont="1" applyFill="1" applyBorder="1" applyAlignment="1">
      <alignment vertical="center"/>
    </xf>
    <xf numFmtId="44" fontId="11" fillId="7" borderId="7" xfId="6" applyFont="1" applyFill="1" applyBorder="1" applyAlignment="1">
      <alignment horizontal="center" vertical="center" wrapText="1"/>
    </xf>
    <xf numFmtId="44" fontId="11" fillId="7" borderId="20" xfId="6" applyFont="1" applyFill="1" applyBorder="1" applyAlignment="1">
      <alignment horizontal="center" vertical="center" wrapText="1"/>
    </xf>
    <xf numFmtId="44" fontId="2" fillId="2" borderId="6" xfId="0" applyNumberFormat="1" applyFont="1" applyFill="1" applyBorder="1" applyAlignment="1">
      <alignment vertical="center"/>
    </xf>
    <xf numFmtId="44" fontId="12" fillId="7" borderId="11" xfId="6" applyFont="1" applyFill="1" applyBorder="1" applyAlignment="1">
      <alignment horizontal="left" vertical="center" wrapText="1"/>
    </xf>
    <xf numFmtId="44" fontId="11" fillId="7" borderId="11" xfId="6" applyFont="1" applyFill="1" applyBorder="1" applyAlignment="1">
      <alignment horizontal="left" vertical="center" wrapText="1"/>
    </xf>
    <xf numFmtId="44" fontId="2" fillId="2" borderId="6" xfId="0" applyNumberFormat="1" applyFont="1" applyFill="1" applyBorder="1" applyAlignment="1">
      <alignment horizontal="left" vertical="center"/>
    </xf>
    <xf numFmtId="164" fontId="5" fillId="0" borderId="1" xfId="2" applyNumberFormat="1" applyFont="1" applyFill="1" applyBorder="1" applyAlignment="1">
      <alignment horizontal="left" vertical="center" wrapText="1" indent="1"/>
    </xf>
    <xf numFmtId="44" fontId="11" fillId="7" borderId="12" xfId="6" applyFont="1" applyFill="1" applyBorder="1" applyAlignment="1">
      <alignment horizontal="center" vertical="center" wrapText="1"/>
    </xf>
    <xf numFmtId="0" fontId="21" fillId="7" borderId="1" xfId="0" applyFont="1" applyFill="1" applyBorder="1" applyAlignment="1">
      <alignment vertical="center"/>
    </xf>
    <xf numFmtId="0" fontId="0" fillId="7" borderId="1" xfId="0" applyFill="1" applyBorder="1" applyAlignment="1">
      <alignment vertical="center"/>
    </xf>
    <xf numFmtId="44" fontId="6" fillId="2" borderId="24" xfId="6" applyFont="1" applyFill="1" applyBorder="1" applyAlignment="1">
      <alignment horizontal="center" vertical="center"/>
    </xf>
    <xf numFmtId="44" fontId="6" fillId="5" borderId="24" xfId="6" applyFont="1" applyFill="1" applyBorder="1" applyAlignment="1">
      <alignment horizontal="center" vertical="center"/>
    </xf>
    <xf numFmtId="0" fontId="5" fillId="0" borderId="11" xfId="7" applyFont="1" applyBorder="1" applyAlignment="1">
      <alignment horizontal="left" vertical="center" wrapText="1" indent="1"/>
    </xf>
    <xf numFmtId="0" fontId="5" fillId="0" borderId="1" xfId="7" applyFont="1" applyBorder="1" applyAlignment="1">
      <alignment horizontal="left" vertical="center" wrapText="1" indent="1"/>
    </xf>
    <xf numFmtId="0" fontId="5" fillId="0" borderId="1" xfId="2" applyNumberFormat="1" applyFont="1" applyFill="1" applyBorder="1" applyAlignment="1">
      <alignment horizontal="left" vertical="center" wrapText="1" indent="1"/>
    </xf>
    <xf numFmtId="0" fontId="18" fillId="5" borderId="11" xfId="0" applyFont="1" applyFill="1" applyBorder="1" applyAlignment="1">
      <alignment horizontal="left" vertical="center" wrapText="1" indent="1"/>
    </xf>
    <xf numFmtId="0" fontId="18" fillId="5" borderId="1" xfId="0" applyFont="1" applyFill="1" applyBorder="1" applyAlignment="1">
      <alignment horizontal="left" vertical="center" wrapText="1" indent="1"/>
    </xf>
    <xf numFmtId="0" fontId="18" fillId="5" borderId="4" xfId="0" applyFont="1" applyFill="1" applyBorder="1" applyAlignment="1">
      <alignment horizontal="left" vertical="center" wrapText="1" indent="1"/>
    </xf>
    <xf numFmtId="0" fontId="5" fillId="0" borderId="4" xfId="7" applyFont="1" applyBorder="1" applyAlignment="1">
      <alignment horizontal="left" vertical="center" wrapText="1" indent="1"/>
    </xf>
    <xf numFmtId="0" fontId="19" fillId="0" borderId="1" xfId="0" applyFont="1" applyBorder="1" applyAlignment="1">
      <alignment horizontal="left" vertical="center" wrapText="1" indent="1"/>
    </xf>
    <xf numFmtId="0" fontId="18" fillId="5" borderId="1" xfId="0" applyFont="1" applyFill="1" applyBorder="1" applyAlignment="1">
      <alignment horizontal="left" wrapText="1" indent="1"/>
    </xf>
    <xf numFmtId="0" fontId="19" fillId="0" borderId="0" xfId="0" applyFont="1" applyAlignment="1">
      <alignment horizontal="left" vertical="center" wrapText="1" indent="1"/>
    </xf>
    <xf numFmtId="0" fontId="18" fillId="5" borderId="1" xfId="0" applyFont="1" applyFill="1" applyBorder="1" applyAlignment="1">
      <alignment horizontal="left" vertical="center" indent="1"/>
    </xf>
    <xf numFmtId="0" fontId="18" fillId="0" borderId="1" xfId="0" applyFont="1" applyBorder="1" applyAlignment="1">
      <alignment horizontal="left" vertical="center" wrapText="1" indent="1"/>
    </xf>
    <xf numFmtId="0" fontId="5" fillId="5" borderId="11" xfId="0" applyFont="1" applyFill="1" applyBorder="1" applyAlignment="1">
      <alignment horizontal="left" vertical="top" indent="1"/>
    </xf>
    <xf numFmtId="0" fontId="5" fillId="5" borderId="1" xfId="0" applyFont="1" applyFill="1" applyBorder="1" applyAlignment="1">
      <alignment horizontal="left" vertical="top" indent="1"/>
    </xf>
    <xf numFmtId="0" fontId="5" fillId="5" borderId="4" xfId="0" applyFont="1" applyFill="1" applyBorder="1" applyAlignment="1">
      <alignment horizontal="left" vertical="top" indent="1"/>
    </xf>
    <xf numFmtId="0" fontId="11" fillId="0" borderId="0" xfId="0" applyFont="1" applyAlignment="1">
      <alignment wrapText="1"/>
    </xf>
    <xf numFmtId="0" fontId="5" fillId="5" borderId="17" xfId="2" applyNumberFormat="1" applyFont="1" applyFill="1" applyBorder="1" applyAlignment="1">
      <alignment horizontal="left" vertical="center" wrapText="1" indent="1"/>
    </xf>
    <xf numFmtId="164" fontId="5" fillId="5" borderId="1" xfId="2" applyNumberFormat="1" applyFont="1" applyFill="1" applyBorder="1" applyAlignment="1">
      <alignment horizontal="left" vertical="center" wrapText="1" indent="1"/>
    </xf>
    <xf numFmtId="0" fontId="5" fillId="5" borderId="14" xfId="0" applyFont="1" applyFill="1" applyBorder="1" applyAlignment="1">
      <alignment horizontal="left" vertical="center" indent="1"/>
    </xf>
    <xf numFmtId="0" fontId="5" fillId="5" borderId="15" xfId="0" applyFont="1" applyFill="1" applyBorder="1" applyAlignment="1">
      <alignment horizontal="left" vertical="center" indent="1"/>
    </xf>
    <xf numFmtId="0" fontId="5" fillId="5" borderId="16" xfId="0" applyFont="1" applyFill="1" applyBorder="1" applyAlignment="1">
      <alignment horizontal="left" vertical="center" indent="1"/>
    </xf>
    <xf numFmtId="0" fontId="5" fillId="5" borderId="22" xfId="2" applyNumberFormat="1" applyFont="1" applyFill="1" applyBorder="1" applyAlignment="1">
      <alignment horizontal="left" vertical="center" wrapText="1" indent="1"/>
    </xf>
    <xf numFmtId="0" fontId="5" fillId="0" borderId="1" xfId="7" applyFont="1" applyBorder="1" applyAlignment="1">
      <alignment horizontal="left" vertical="center" indent="1"/>
    </xf>
    <xf numFmtId="0" fontId="0" fillId="0" borderId="0" xfId="0" applyAlignment="1">
      <alignment vertical="center" wrapText="1"/>
    </xf>
    <xf numFmtId="0" fontId="6" fillId="0" borderId="0" xfId="0" applyFont="1" applyAlignment="1">
      <alignment wrapText="1"/>
    </xf>
    <xf numFmtId="0" fontId="5" fillId="5" borderId="12" xfId="2" applyNumberFormat="1" applyFont="1" applyFill="1" applyBorder="1" applyAlignment="1">
      <alignment horizontal="left" vertical="center" wrapText="1" indent="1"/>
    </xf>
    <xf numFmtId="0" fontId="5" fillId="5" borderId="21" xfId="2" applyNumberFormat="1" applyFont="1" applyFill="1" applyBorder="1" applyAlignment="1">
      <alignment horizontal="left" vertical="center" wrapText="1" indent="1"/>
    </xf>
    <xf numFmtId="0" fontId="5" fillId="5" borderId="11" xfId="2" applyNumberFormat="1" applyFont="1" applyFill="1" applyBorder="1" applyAlignment="1">
      <alignment horizontal="left" vertical="center" wrapText="1" indent="1"/>
    </xf>
    <xf numFmtId="0" fontId="5" fillId="4" borderId="6" xfId="2" applyNumberFormat="1" applyFont="1" applyFill="1" applyBorder="1" applyAlignment="1">
      <alignment horizontal="left" vertical="center" wrapText="1" indent="1"/>
    </xf>
    <xf numFmtId="0" fontId="5" fillId="2" borderId="6" xfId="0" applyFont="1" applyFill="1" applyBorder="1" applyAlignment="1">
      <alignment horizontal="left" vertical="center" wrapText="1" indent="1"/>
    </xf>
    <xf numFmtId="0" fontId="14" fillId="0" borderId="0" xfId="0" applyFont="1" applyAlignment="1">
      <alignment horizontal="left"/>
    </xf>
    <xf numFmtId="0" fontId="26" fillId="0" borderId="0" xfId="0" applyFont="1"/>
    <xf numFmtId="0" fontId="19" fillId="0" borderId="25" xfId="0" applyFont="1" applyBorder="1" applyAlignment="1">
      <alignment horizontal="left" vertical="center" wrapText="1" indent="1"/>
    </xf>
    <xf numFmtId="0" fontId="11" fillId="0" borderId="4" xfId="0" applyFont="1" applyBorder="1" applyAlignment="1">
      <alignment horizontal="center" wrapText="1"/>
    </xf>
    <xf numFmtId="0" fontId="5" fillId="0" borderId="4" xfId="2" applyNumberFormat="1" applyFont="1" applyFill="1" applyBorder="1" applyAlignment="1">
      <alignment horizontal="left" vertical="center" wrapText="1" indent="1"/>
    </xf>
    <xf numFmtId="0" fontId="2" fillId="2" borderId="27" xfId="0" applyFont="1" applyFill="1" applyBorder="1" applyAlignment="1">
      <alignment horizontal="center"/>
    </xf>
    <xf numFmtId="164" fontId="14" fillId="0" borderId="0" xfId="0" applyNumberFormat="1" applyFont="1"/>
    <xf numFmtId="0" fontId="2" fillId="2" borderId="26" xfId="0" applyFont="1" applyFill="1" applyBorder="1" applyAlignment="1">
      <alignment horizontal="center"/>
    </xf>
    <xf numFmtId="0" fontId="14" fillId="2" borderId="8" xfId="0" applyFont="1" applyFill="1" applyBorder="1" applyAlignment="1">
      <alignment horizontal="left"/>
    </xf>
    <xf numFmtId="0" fontId="14" fillId="2" borderId="6" xfId="0" applyFont="1" applyFill="1" applyBorder="1" applyAlignment="1">
      <alignment horizontal="left"/>
    </xf>
    <xf numFmtId="0" fontId="2" fillId="2" borderId="10" xfId="0" applyFont="1" applyFill="1" applyBorder="1" applyAlignment="1">
      <alignment horizontal="center"/>
    </xf>
    <xf numFmtId="164" fontId="27" fillId="0" borderId="0" xfId="0" applyNumberFormat="1" applyFont="1"/>
    <xf numFmtId="0" fontId="19" fillId="0" borderId="28" xfId="0" applyFont="1" applyBorder="1" applyAlignment="1">
      <alignment horizontal="left" vertical="center" wrapText="1" indent="1"/>
    </xf>
    <xf numFmtId="0" fontId="5" fillId="0" borderId="0" xfId="0" applyFont="1" applyAlignment="1">
      <alignment horizontal="left" wrapText="1"/>
    </xf>
    <xf numFmtId="166" fontId="21" fillId="7" borderId="1" xfId="0" applyNumberFormat="1" applyFont="1" applyFill="1" applyBorder="1" applyAlignment="1">
      <alignment vertical="center"/>
    </xf>
    <xf numFmtId="164" fontId="21" fillId="7" borderId="1" xfId="6" applyNumberFormat="1" applyFont="1" applyFill="1" applyBorder="1" applyAlignment="1">
      <alignment vertical="center"/>
    </xf>
    <xf numFmtId="164" fontId="21" fillId="7" borderId="1" xfId="0" applyNumberFormat="1" applyFont="1" applyFill="1" applyBorder="1" applyAlignment="1">
      <alignment vertical="center"/>
    </xf>
    <xf numFmtId="164" fontId="0" fillId="7" borderId="1" xfId="0" applyNumberFormat="1" applyFill="1" applyBorder="1" applyAlignment="1">
      <alignment vertical="center"/>
    </xf>
    <xf numFmtId="0" fontId="0" fillId="7" borderId="0" xfId="0" applyFill="1"/>
    <xf numFmtId="0" fontId="6" fillId="2" borderId="8" xfId="0" applyFont="1" applyFill="1" applyBorder="1" applyAlignment="1">
      <alignment horizontal="center" vertical="top" wrapText="1"/>
    </xf>
    <xf numFmtId="164" fontId="2" fillId="9" borderId="6" xfId="0" applyNumberFormat="1" applyFont="1" applyFill="1" applyBorder="1" applyAlignment="1">
      <alignment vertical="center"/>
    </xf>
    <xf numFmtId="164" fontId="2" fillId="9" borderId="6" xfId="0" applyNumberFormat="1" applyFont="1" applyFill="1" applyBorder="1"/>
    <xf numFmtId="0" fontId="6" fillId="2" borderId="26" xfId="0" applyFont="1" applyFill="1" applyBorder="1" applyAlignment="1">
      <alignment vertical="top"/>
    </xf>
    <xf numFmtId="164" fontId="5" fillId="0" borderId="20" xfId="0" applyNumberFormat="1" applyFont="1" applyBorder="1"/>
    <xf numFmtId="0" fontId="5" fillId="0" borderId="20" xfId="0" applyFont="1" applyBorder="1"/>
    <xf numFmtId="164" fontId="5" fillId="0" borderId="20" xfId="2" applyNumberFormat="1" applyFont="1" applyFill="1" applyBorder="1" applyAlignment="1">
      <alignment vertical="top" wrapText="1"/>
    </xf>
    <xf numFmtId="164" fontId="17" fillId="0" borderId="0" xfId="0" applyNumberFormat="1" applyFont="1" applyAlignment="1">
      <alignment horizontal="left" vertical="top"/>
    </xf>
    <xf numFmtId="164" fontId="5" fillId="4" borderId="6" xfId="2" applyNumberFormat="1" applyFont="1" applyFill="1" applyBorder="1" applyAlignment="1">
      <alignment horizontal="left" vertical="center" wrapText="1" indent="1"/>
    </xf>
    <xf numFmtId="0" fontId="6" fillId="4" borderId="0" xfId="0" applyFont="1" applyFill="1" applyAlignment="1">
      <alignment vertical="top"/>
    </xf>
    <xf numFmtId="0" fontId="5" fillId="4" borderId="0" xfId="2" applyNumberFormat="1" applyFont="1" applyFill="1" applyBorder="1" applyAlignment="1">
      <alignment horizontal="left" vertical="center" wrapText="1" indent="1"/>
    </xf>
    <xf numFmtId="44" fontId="5" fillId="0" borderId="0" xfId="6" applyFont="1" applyFill="1" applyBorder="1" applyAlignment="1">
      <alignment horizontal="left"/>
    </xf>
    <xf numFmtId="0" fontId="5" fillId="0" borderId="0" xfId="0" applyFont="1" applyAlignment="1">
      <alignment horizontal="left" indent="1"/>
    </xf>
    <xf numFmtId="164" fontId="5" fillId="8" borderId="9" xfId="2" applyNumberFormat="1" applyFont="1" applyFill="1" applyBorder="1" applyAlignment="1">
      <alignment vertical="top" wrapText="1"/>
    </xf>
    <xf numFmtId="164" fontId="5" fillId="6" borderId="6" xfId="0" applyNumberFormat="1" applyFont="1" applyFill="1" applyBorder="1"/>
    <xf numFmtId="164" fontId="6" fillId="2" borderId="9" xfId="0" applyNumberFormat="1" applyFont="1" applyFill="1" applyBorder="1" applyAlignment="1">
      <alignment vertical="top" wrapText="1"/>
    </xf>
    <xf numFmtId="9" fontId="5" fillId="9" borderId="10" xfId="1" applyFont="1" applyFill="1" applyBorder="1" applyAlignment="1">
      <alignment horizontal="center" vertical="top"/>
    </xf>
    <xf numFmtId="9" fontId="5" fillId="0" borderId="19" xfId="1" applyFont="1" applyFill="1" applyBorder="1" applyAlignment="1">
      <alignment horizontal="center" vertical="top"/>
    </xf>
    <xf numFmtId="9" fontId="5" fillId="0" borderId="18" xfId="1" applyFont="1" applyFill="1" applyBorder="1" applyAlignment="1">
      <alignment horizontal="center" vertical="top"/>
    </xf>
    <xf numFmtId="9" fontId="5" fillId="0" borderId="10" xfId="1" applyFont="1" applyFill="1" applyBorder="1" applyAlignment="1">
      <alignment horizontal="center" vertical="top"/>
    </xf>
    <xf numFmtId="0" fontId="6" fillId="2" borderId="26" xfId="0" applyFont="1" applyFill="1" applyBorder="1" applyAlignment="1">
      <alignment horizontal="center" vertical="top" wrapText="1"/>
    </xf>
    <xf numFmtId="164" fontId="15" fillId="7" borderId="11" xfId="8" applyNumberFormat="1" applyFont="1" applyFill="1" applyBorder="1" applyAlignment="1">
      <alignment vertical="top" wrapText="1"/>
    </xf>
    <xf numFmtId="164" fontId="15" fillId="7" borderId="11" xfId="8" applyNumberFormat="1" applyFont="1" applyFill="1" applyBorder="1" applyAlignment="1">
      <alignment vertical="center" wrapText="1"/>
    </xf>
    <xf numFmtId="164" fontId="15" fillId="7" borderId="11" xfId="2" applyNumberFormat="1" applyFont="1" applyFill="1" applyBorder="1" applyAlignment="1">
      <alignment horizontal="center" vertical="top" wrapText="1"/>
    </xf>
    <xf numFmtId="164" fontId="5" fillId="4" borderId="5" xfId="2" applyNumberFormat="1" applyFont="1" applyFill="1" applyBorder="1" applyAlignment="1">
      <alignment horizontal="left" vertical="center" wrapText="1" indent="1"/>
    </xf>
    <xf numFmtId="164" fontId="5" fillId="4" borderId="29" xfId="2" applyNumberFormat="1" applyFont="1" applyFill="1" applyBorder="1" applyAlignment="1">
      <alignment horizontal="left" vertical="center" wrapText="1" indent="1"/>
    </xf>
    <xf numFmtId="0" fontId="6" fillId="4" borderId="29" xfId="0" applyFont="1" applyFill="1" applyBorder="1" applyAlignment="1">
      <alignment horizontal="right" vertical="top"/>
    </xf>
    <xf numFmtId="0" fontId="5" fillId="0" borderId="0" xfId="0" applyFont="1" applyAlignment="1">
      <alignment horizontal="left" vertical="top" indent="1"/>
    </xf>
    <xf numFmtId="0" fontId="5" fillId="0" borderId="12" xfId="0" applyFont="1" applyBorder="1" applyAlignment="1">
      <alignment horizontal="left" vertical="top" indent="1"/>
    </xf>
    <xf numFmtId="164" fontId="5" fillId="4" borderId="0" xfId="2" applyNumberFormat="1" applyFont="1" applyFill="1" applyBorder="1" applyAlignment="1">
      <alignment horizontal="left" vertical="center" wrapText="1" indent="1"/>
    </xf>
    <xf numFmtId="0" fontId="6" fillId="4" borderId="0" xfId="0" applyFont="1" applyFill="1" applyAlignment="1">
      <alignment horizontal="right" vertical="top"/>
    </xf>
    <xf numFmtId="0" fontId="21" fillId="0" borderId="0" xfId="0" applyFont="1" applyAlignment="1">
      <alignment wrapText="1"/>
    </xf>
    <xf numFmtId="0" fontId="15" fillId="0" borderId="0" xfId="0" applyFont="1" applyAlignment="1">
      <alignment wrapText="1"/>
    </xf>
    <xf numFmtId="0" fontId="24" fillId="0" borderId="0" xfId="0" applyFont="1" applyAlignment="1">
      <alignment horizontal="left"/>
    </xf>
    <xf numFmtId="0" fontId="24" fillId="0" borderId="0" xfId="0" applyFont="1"/>
    <xf numFmtId="0" fontId="25" fillId="0" borderId="0" xfId="0" applyFont="1" applyAlignment="1">
      <alignment horizontal="left"/>
    </xf>
    <xf numFmtId="44" fontId="11" fillId="7" borderId="1" xfId="6" applyFont="1" applyFill="1" applyBorder="1" applyAlignment="1">
      <alignment horizontal="left" vertical="center" wrapText="1"/>
    </xf>
    <xf numFmtId="44" fontId="1" fillId="0" borderId="1" xfId="0" applyNumberFormat="1" applyFont="1" applyBorder="1"/>
    <xf numFmtId="0" fontId="22" fillId="0" borderId="0" xfId="0" applyFont="1" applyAlignment="1">
      <alignment wrapText="1"/>
    </xf>
    <xf numFmtId="164" fontId="15" fillId="7" borderId="1" xfId="2" applyNumberFormat="1" applyFont="1" applyFill="1" applyBorder="1" applyAlignment="1">
      <alignment horizontal="center" vertical="top" wrapText="1"/>
    </xf>
    <xf numFmtId="3" fontId="29" fillId="0" borderId="0" xfId="0" applyNumberFormat="1" applyFont="1"/>
    <xf numFmtId="3" fontId="30" fillId="0" borderId="0" xfId="0" applyNumberFormat="1" applyFont="1"/>
    <xf numFmtId="164" fontId="0" fillId="3" borderId="1" xfId="6" applyNumberFormat="1" applyFont="1" applyFill="1" applyBorder="1" applyAlignment="1">
      <alignment vertical="center"/>
    </xf>
    <xf numFmtId="44" fontId="6" fillId="0" borderId="24" xfId="6" applyFont="1" applyFill="1" applyBorder="1" applyAlignment="1">
      <alignment horizontal="center" vertical="center"/>
    </xf>
    <xf numFmtId="164" fontId="15" fillId="7" borderId="1" xfId="8" applyNumberFormat="1" applyFont="1" applyFill="1" applyBorder="1" applyAlignment="1">
      <alignment horizontal="center" vertical="center" wrapText="1"/>
    </xf>
    <xf numFmtId="164" fontId="5" fillId="4" borderId="30" xfId="2" applyNumberFormat="1" applyFont="1" applyFill="1" applyBorder="1" applyAlignment="1">
      <alignment horizontal="left" vertical="center" wrapText="1" indent="1"/>
    </xf>
    <xf numFmtId="164" fontId="6" fillId="2" borderId="24" xfId="6" applyNumberFormat="1" applyFont="1" applyFill="1" applyBorder="1" applyAlignment="1">
      <alignment horizontal="center" vertical="center"/>
    </xf>
    <xf numFmtId="164" fontId="6" fillId="5" borderId="24" xfId="6" applyNumberFormat="1" applyFont="1" applyFill="1" applyBorder="1" applyAlignment="1">
      <alignment horizontal="center" vertical="center"/>
    </xf>
    <xf numFmtId="164" fontId="6" fillId="0" borderId="24" xfId="6" applyNumberFormat="1" applyFont="1" applyFill="1" applyBorder="1" applyAlignment="1">
      <alignment horizontal="center" vertical="center"/>
    </xf>
    <xf numFmtId="164" fontId="15" fillId="7" borderId="4" xfId="8" applyNumberFormat="1" applyFont="1" applyFill="1" applyBorder="1" applyAlignment="1">
      <alignment horizontal="center" vertical="center" wrapText="1"/>
    </xf>
    <xf numFmtId="164" fontId="5" fillId="0" borderId="27" xfId="2" applyNumberFormat="1" applyFont="1" applyFill="1" applyBorder="1" applyAlignment="1">
      <alignment horizontal="left" vertical="center" wrapText="1" indent="1"/>
    </xf>
    <xf numFmtId="164" fontId="15" fillId="7" borderId="4" xfId="2" applyNumberFormat="1" applyFont="1" applyFill="1" applyBorder="1" applyAlignment="1">
      <alignment horizontal="center" vertical="top" wrapText="1"/>
    </xf>
    <xf numFmtId="164" fontId="21" fillId="7" borderId="1" xfId="6" applyNumberFormat="1" applyFont="1" applyFill="1" applyBorder="1" applyAlignment="1">
      <alignment horizontal="right" vertical="center"/>
    </xf>
    <xf numFmtId="164" fontId="5" fillId="4" borderId="13" xfId="2" applyNumberFormat="1" applyFont="1" applyFill="1" applyBorder="1" applyAlignment="1">
      <alignment horizontal="left" vertical="center" wrapText="1" indent="1"/>
    </xf>
    <xf numFmtId="44" fontId="12" fillId="7" borderId="7" xfId="6" applyFont="1" applyFill="1" applyBorder="1" applyAlignment="1">
      <alignment horizontal="left" wrapText="1"/>
    </xf>
    <xf numFmtId="44" fontId="21" fillId="7" borderId="7" xfId="6" applyFont="1" applyFill="1" applyBorder="1"/>
    <xf numFmtId="164" fontId="10" fillId="0" borderId="11" xfId="0" applyNumberFormat="1" applyFont="1" applyBorder="1"/>
    <xf numFmtId="164" fontId="14" fillId="2" borderId="6" xfId="0" applyNumberFormat="1" applyFont="1" applyFill="1" applyBorder="1" applyAlignment="1">
      <alignment horizontal="center"/>
    </xf>
    <xf numFmtId="0" fontId="6" fillId="9" borderId="23" xfId="0" applyFont="1" applyFill="1" applyBorder="1" applyAlignment="1">
      <alignment horizontal="center"/>
    </xf>
    <xf numFmtId="164" fontId="6" fillId="9" borderId="24" xfId="6" applyNumberFormat="1" applyFont="1" applyFill="1" applyBorder="1" applyAlignment="1">
      <alignment horizontal="center" vertical="center"/>
    </xf>
    <xf numFmtId="0" fontId="6" fillId="4" borderId="30" xfId="0" applyFont="1" applyFill="1" applyBorder="1" applyAlignment="1">
      <alignment horizontal="right" vertical="top"/>
    </xf>
    <xf numFmtId="164" fontId="15" fillId="7" borderId="21" xfId="2" applyNumberFormat="1" applyFont="1" applyFill="1" applyBorder="1" applyAlignment="1">
      <alignment horizontal="center" vertical="top" wrapText="1"/>
    </xf>
    <xf numFmtId="164" fontId="0" fillId="7" borderId="1" xfId="6" applyNumberFormat="1" applyFont="1" applyFill="1" applyBorder="1" applyAlignment="1">
      <alignment vertical="center"/>
    </xf>
    <xf numFmtId="164" fontId="5" fillId="0" borderId="36" xfId="2" applyNumberFormat="1" applyFont="1" applyFill="1" applyBorder="1" applyAlignment="1">
      <alignment horizontal="left" vertical="center" wrapText="1" indent="1"/>
    </xf>
    <xf numFmtId="0" fontId="5" fillId="0" borderId="0" xfId="7" applyFont="1" applyAlignment="1">
      <alignment horizontal="left" vertical="center" wrapText="1" indent="1"/>
    </xf>
    <xf numFmtId="44" fontId="11" fillId="7" borderId="12" xfId="6" applyFont="1" applyFill="1" applyBorder="1" applyAlignment="1">
      <alignment horizontal="left" vertical="center" wrapText="1"/>
    </xf>
    <xf numFmtId="0" fontId="0" fillId="0" borderId="0" xfId="0" applyAlignment="1">
      <alignment wrapText="1"/>
    </xf>
    <xf numFmtId="44" fontId="11" fillId="7" borderId="21" xfId="6" applyFont="1" applyFill="1" applyBorder="1" applyAlignment="1">
      <alignment horizontal="center" vertical="center" wrapText="1"/>
    </xf>
    <xf numFmtId="0" fontId="11" fillId="0" borderId="38" xfId="0" applyFont="1" applyBorder="1" applyAlignment="1">
      <alignment horizontal="center" wrapText="1"/>
    </xf>
    <xf numFmtId="164" fontId="10" fillId="0" borderId="21" xfId="0" applyNumberFormat="1" applyFont="1" applyBorder="1" applyAlignment="1">
      <alignment horizontal="left" wrapText="1"/>
    </xf>
    <xf numFmtId="0" fontId="5" fillId="0" borderId="11" xfId="0" applyFont="1" applyBorder="1" applyAlignment="1">
      <alignment horizontal="left" vertical="top" indent="1"/>
    </xf>
    <xf numFmtId="0" fontId="5" fillId="0" borderId="1" xfId="0" applyFont="1" applyBorder="1" applyAlignment="1">
      <alignment horizontal="left" vertical="top" indent="1"/>
    </xf>
    <xf numFmtId="0" fontId="5" fillId="0" borderId="4" xfId="0" applyFont="1" applyBorder="1" applyAlignment="1">
      <alignment horizontal="left" vertical="top" indent="1"/>
    </xf>
    <xf numFmtId="0" fontId="5" fillId="0" borderId="33" xfId="0" applyFont="1" applyBorder="1" applyAlignment="1">
      <alignment horizontal="left" vertical="top" indent="1"/>
    </xf>
    <xf numFmtId="0" fontId="5" fillId="0" borderId="32" xfId="0" applyFont="1" applyBorder="1" applyAlignment="1">
      <alignment horizontal="left" vertical="top" indent="1"/>
    </xf>
    <xf numFmtId="0" fontId="5" fillId="0" borderId="24" xfId="0" applyFont="1" applyBorder="1" applyAlignment="1">
      <alignment horizontal="left" vertical="top" indent="1"/>
    </xf>
    <xf numFmtId="0" fontId="28" fillId="0" borderId="1" xfId="0" applyFont="1" applyBorder="1" applyAlignment="1">
      <alignment vertical="center"/>
    </xf>
    <xf numFmtId="0" fontId="5" fillId="0" borderId="4" xfId="0" applyFont="1" applyBorder="1" applyAlignment="1">
      <alignment horizontal="left" vertical="center" indent="1"/>
    </xf>
    <xf numFmtId="0" fontId="5" fillId="0" borderId="1" xfId="0" applyFont="1" applyBorder="1" applyAlignment="1">
      <alignment horizontal="left" vertical="center" indent="1"/>
    </xf>
    <xf numFmtId="0" fontId="5" fillId="0" borderId="21" xfId="0" applyFont="1" applyBorder="1" applyAlignment="1">
      <alignment horizontal="left" vertical="top" indent="1"/>
    </xf>
    <xf numFmtId="14" fontId="5" fillId="0" borderId="1" xfId="0" applyNumberFormat="1" applyFont="1" applyBorder="1" applyAlignment="1">
      <alignment horizontal="left" vertical="top" indent="1"/>
    </xf>
    <xf numFmtId="164" fontId="15" fillId="7" borderId="25" xfId="2" applyNumberFormat="1" applyFont="1" applyFill="1" applyBorder="1" applyAlignment="1">
      <alignment horizontal="center" vertical="top" wrapText="1"/>
    </xf>
    <xf numFmtId="164" fontId="15" fillId="7" borderId="34" xfId="2" applyNumberFormat="1" applyFont="1" applyFill="1" applyBorder="1" applyAlignment="1">
      <alignment horizontal="center" vertical="top" wrapText="1"/>
    </xf>
    <xf numFmtId="164" fontId="15" fillId="7" borderId="37" xfId="2" applyNumberFormat="1" applyFont="1" applyFill="1" applyBorder="1" applyAlignment="1">
      <alignment horizontal="center" vertical="top" wrapText="1"/>
    </xf>
    <xf numFmtId="0" fontId="5" fillId="0" borderId="41" xfId="0" applyFont="1" applyBorder="1" applyAlignment="1">
      <alignment horizontal="left" vertical="center" indent="1"/>
    </xf>
    <xf numFmtId="164" fontId="15" fillId="7" borderId="21" xfId="8" applyNumberFormat="1" applyFont="1" applyFill="1" applyBorder="1" applyAlignment="1">
      <alignment vertical="center"/>
    </xf>
    <xf numFmtId="44" fontId="0" fillId="7" borderId="1" xfId="6" applyFont="1" applyFill="1" applyBorder="1" applyAlignment="1">
      <alignment vertical="center"/>
    </xf>
    <xf numFmtId="44" fontId="1" fillId="7" borderId="1" xfId="6" applyFont="1" applyFill="1" applyBorder="1" applyAlignment="1">
      <alignment vertical="center"/>
    </xf>
    <xf numFmtId="164" fontId="5" fillId="0" borderId="9" xfId="2" applyNumberFormat="1" applyFont="1" applyFill="1" applyBorder="1" applyAlignment="1">
      <alignment vertical="top" wrapText="1"/>
    </xf>
    <xf numFmtId="164" fontId="5" fillId="7" borderId="7" xfId="0" applyNumberFormat="1" applyFont="1" applyFill="1" applyBorder="1"/>
    <xf numFmtId="164" fontId="5" fillId="7" borderId="25" xfId="0" applyNumberFormat="1" applyFont="1" applyFill="1" applyBorder="1" applyAlignment="1">
      <alignment horizontal="left"/>
    </xf>
    <xf numFmtId="164" fontId="5" fillId="7" borderId="7" xfId="0" applyNumberFormat="1" applyFont="1" applyFill="1" applyBorder="1" applyAlignment="1">
      <alignment horizontal="left"/>
    </xf>
    <xf numFmtId="164" fontId="5" fillId="0" borderId="6" xfId="2" applyNumberFormat="1" applyFont="1" applyFill="1" applyBorder="1" applyAlignment="1">
      <alignment horizontal="left" vertical="center" wrapText="1" indent="1"/>
    </xf>
    <xf numFmtId="0" fontId="19" fillId="0" borderId="0" xfId="0" applyFont="1" applyAlignment="1">
      <alignment horizontal="left" indent="1"/>
    </xf>
    <xf numFmtId="14" fontId="0" fillId="0" borderId="0" xfId="0" applyNumberFormat="1"/>
    <xf numFmtId="0" fontId="19" fillId="0" borderId="31" xfId="0" applyFont="1" applyBorder="1" applyAlignment="1">
      <alignment horizontal="left" vertical="center" wrapText="1"/>
    </xf>
    <xf numFmtId="0" fontId="19" fillId="0" borderId="0" xfId="0" applyFont="1" applyAlignment="1">
      <alignment horizontal="left" vertical="center" wrapText="1"/>
    </xf>
    <xf numFmtId="0" fontId="0" fillId="0" borderId="0" xfId="0" applyAlignment="1">
      <alignment horizontal="center"/>
    </xf>
    <xf numFmtId="0" fontId="5" fillId="0" borderId="1" xfId="0" applyFont="1" applyBorder="1" applyAlignment="1">
      <alignment horizontal="left" vertical="center" indent="1"/>
    </xf>
    <xf numFmtId="0" fontId="5" fillId="0" borderId="21" xfId="0" applyFont="1" applyBorder="1" applyAlignment="1">
      <alignment horizontal="left" vertical="center" indent="1"/>
    </xf>
    <xf numFmtId="164" fontId="15" fillId="7" borderId="1" xfId="8" applyNumberFormat="1" applyFont="1" applyFill="1" applyBorder="1" applyAlignment="1">
      <alignment horizontal="center" vertical="center" wrapText="1"/>
    </xf>
    <xf numFmtId="164" fontId="15" fillId="7" borderId="21" xfId="8" applyNumberFormat="1" applyFont="1" applyFill="1" applyBorder="1" applyAlignment="1">
      <alignment horizontal="center" vertical="center" wrapText="1"/>
    </xf>
    <xf numFmtId="164" fontId="15" fillId="7" borderId="1" xfId="8" applyNumberFormat="1" applyFont="1" applyFill="1" applyBorder="1" applyAlignment="1">
      <alignment horizontal="center" vertical="center"/>
    </xf>
    <xf numFmtId="0" fontId="5" fillId="0" borderId="39" xfId="0" applyFont="1" applyBorder="1" applyAlignment="1">
      <alignment horizontal="left" vertical="center" indent="1"/>
    </xf>
    <xf numFmtId="0" fontId="5" fillId="0" borderId="0" xfId="0" applyFont="1" applyAlignment="1">
      <alignment horizontal="left" vertical="center" indent="1"/>
    </xf>
    <xf numFmtId="0" fontId="5" fillId="0" borderId="40" xfId="0" applyFont="1" applyBorder="1" applyAlignment="1">
      <alignment horizontal="left" vertical="center" indent="1"/>
    </xf>
    <xf numFmtId="164" fontId="15" fillId="7" borderId="4" xfId="8" applyNumberFormat="1" applyFont="1" applyFill="1" applyBorder="1" applyAlignment="1">
      <alignment horizontal="center" vertical="center"/>
    </xf>
    <xf numFmtId="164" fontId="15" fillId="7" borderId="12" xfId="8" applyNumberFormat="1" applyFont="1" applyFill="1" applyBorder="1" applyAlignment="1">
      <alignment horizontal="center" vertical="center"/>
    </xf>
    <xf numFmtId="164" fontId="15" fillId="7" borderId="11" xfId="8" applyNumberFormat="1" applyFont="1" applyFill="1" applyBorder="1" applyAlignment="1">
      <alignment horizontal="center" vertical="center"/>
    </xf>
    <xf numFmtId="0" fontId="5" fillId="0" borderId="4" xfId="0" applyFont="1" applyBorder="1" applyAlignment="1">
      <alignment horizontal="left" vertical="center" indent="1"/>
    </xf>
    <xf numFmtId="0" fontId="5" fillId="0" borderId="11" xfId="0" applyFont="1" applyBorder="1" applyAlignment="1">
      <alignment horizontal="left" vertical="center" indent="1"/>
    </xf>
    <xf numFmtId="164" fontId="15" fillId="7" borderId="4" xfId="8" applyNumberFormat="1" applyFont="1" applyFill="1" applyBorder="1" applyAlignment="1">
      <alignment horizontal="center" vertical="center" wrapText="1"/>
    </xf>
    <xf numFmtId="164" fontId="15" fillId="7" borderId="11" xfId="8" applyNumberFormat="1" applyFont="1" applyFill="1" applyBorder="1" applyAlignment="1">
      <alignment horizontal="center" vertical="center" wrapText="1"/>
    </xf>
    <xf numFmtId="0" fontId="5" fillId="0" borderId="12" xfId="0" applyFont="1" applyBorder="1" applyAlignment="1">
      <alignment horizontal="left" vertical="center" indent="1"/>
    </xf>
    <xf numFmtId="164" fontId="15" fillId="7" borderId="12" xfId="8" applyNumberFormat="1" applyFont="1" applyFill="1" applyBorder="1" applyAlignment="1">
      <alignment horizontal="center" vertical="center" wrapText="1"/>
    </xf>
    <xf numFmtId="164" fontId="15" fillId="7" borderId="1" xfId="8" applyNumberFormat="1" applyFont="1" applyFill="1" applyBorder="1" applyAlignment="1">
      <alignment horizontal="left" vertical="center" wrapText="1"/>
    </xf>
    <xf numFmtId="164" fontId="15" fillId="7" borderId="12" xfId="8" applyNumberFormat="1" applyFont="1" applyFill="1" applyBorder="1" applyAlignment="1">
      <alignment horizontal="left" vertical="center" wrapText="1"/>
    </xf>
    <xf numFmtId="0" fontId="5" fillId="0" borderId="34" xfId="0" applyFont="1" applyBorder="1" applyAlignment="1">
      <alignment horizontal="left" vertical="center" indent="1"/>
    </xf>
    <xf numFmtId="0" fontId="5" fillId="0" borderId="35" xfId="0" applyFont="1" applyBorder="1" applyAlignment="1">
      <alignment horizontal="left" vertical="center" indent="1"/>
    </xf>
    <xf numFmtId="0" fontId="5" fillId="0" borderId="30" xfId="0" applyFont="1" applyBorder="1" applyAlignment="1">
      <alignment horizontal="left" vertical="center" indent="1"/>
    </xf>
    <xf numFmtId="164" fontId="15" fillId="7" borderId="33" xfId="8" applyNumberFormat="1" applyFont="1" applyFill="1" applyBorder="1" applyAlignment="1">
      <alignment horizontal="center" vertical="center" wrapText="1"/>
    </xf>
  </cellXfs>
  <cellStyles count="10">
    <cellStyle name="Comma" xfId="8" builtinId="3"/>
    <cellStyle name="Currency" xfId="6" builtinId="4"/>
    <cellStyle name="Currency 2" xfId="2" xr:uid="{00000000-0005-0000-0000-000001000000}"/>
    <cellStyle name="Currency 4" xfId="5" xr:uid="{00000000-0005-0000-0000-000002000000}"/>
    <cellStyle name="Normal" xfId="0" builtinId="0"/>
    <cellStyle name="Normal 2" xfId="7" xr:uid="{51EDD1D5-8F29-4130-B84D-F9386ACE5AA9}"/>
    <cellStyle name="Normal 2 2 2" xfId="9" xr:uid="{926DCE92-27F3-4FFC-BDDF-07BD59B8CC7B}"/>
    <cellStyle name="Normal 3 2" xfId="4" xr:uid="{00000000-0005-0000-0000-000004000000}"/>
    <cellStyle name="Normal 79" xfId="3" xr:uid="{00000000-0005-0000-0000-000005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
  <sheetViews>
    <sheetView zoomScale="80" zoomScaleNormal="80" workbookViewId="0">
      <pane xSplit="2" topLeftCell="C1" activePane="topRight" state="frozen"/>
      <selection pane="topRight" activeCell="D8" sqref="D8"/>
    </sheetView>
  </sheetViews>
  <sheetFormatPr defaultColWidth="9.140625" defaultRowHeight="12.75" x14ac:dyDescent="0.2"/>
  <cols>
    <col min="1" max="1" width="43.42578125" style="6" customWidth="1"/>
    <col min="2" max="2" width="26" style="6" customWidth="1"/>
    <col min="3" max="18" width="18.140625" style="6" customWidth="1"/>
    <col min="19" max="19" width="15" style="6" bestFit="1" customWidth="1"/>
    <col min="20" max="20" width="19.42578125" style="6" bestFit="1" customWidth="1"/>
    <col min="21" max="21" width="12.140625" style="6" bestFit="1" customWidth="1"/>
    <col min="22" max="22" width="9.140625" style="6"/>
    <col min="23" max="23" width="12.140625" style="6" bestFit="1" customWidth="1"/>
    <col min="24" max="24" width="12.42578125" style="6" customWidth="1"/>
    <col min="25" max="25" width="9.140625" style="6"/>
    <col min="26" max="26" width="9.42578125" style="6" bestFit="1" customWidth="1"/>
    <col min="27" max="27" width="15.140625" style="6" bestFit="1" customWidth="1"/>
    <col min="28" max="16384" width="9.140625" style="6"/>
  </cols>
  <sheetData>
    <row r="1" spans="1:21" s="2" customFormat="1" ht="15.75" x14ac:dyDescent="0.25">
      <c r="A1" s="128" t="s">
        <v>0</v>
      </c>
      <c r="B1" s="1"/>
      <c r="S1" s="3"/>
      <c r="T1" s="4"/>
      <c r="U1" s="4"/>
    </row>
    <row r="2" spans="1:21" s="2" customFormat="1" ht="15.75" x14ac:dyDescent="0.25">
      <c r="A2" s="180" t="s">
        <v>357</v>
      </c>
      <c r="B2" s="5"/>
      <c r="C2" s="6"/>
      <c r="D2" s="5"/>
      <c r="E2" s="5"/>
      <c r="F2" s="5"/>
      <c r="G2" s="5"/>
      <c r="H2" s="5"/>
      <c r="I2" s="6"/>
      <c r="J2" s="6"/>
      <c r="K2" s="6"/>
      <c r="L2" s="6"/>
      <c r="M2" s="6"/>
      <c r="U2" s="4"/>
    </row>
    <row r="3" spans="1:21" s="2" customFormat="1" ht="15.75" x14ac:dyDescent="0.25">
      <c r="A3" s="181" t="s">
        <v>358</v>
      </c>
      <c r="B3" s="5"/>
      <c r="C3" s="6"/>
      <c r="D3" s="5"/>
      <c r="E3" s="5"/>
      <c r="F3" s="5"/>
      <c r="G3" s="5"/>
      <c r="H3" s="5"/>
      <c r="I3" s="6"/>
      <c r="J3" s="6"/>
      <c r="K3" s="6"/>
      <c r="L3" s="6"/>
      <c r="M3" s="6"/>
      <c r="U3" s="4"/>
    </row>
    <row r="4" spans="1:21" s="2" customFormat="1" ht="15.75" x14ac:dyDescent="0.25">
      <c r="B4" s="6"/>
      <c r="C4" s="6"/>
      <c r="D4" s="6"/>
      <c r="E4" s="29"/>
      <c r="F4" s="29"/>
      <c r="G4" s="5"/>
      <c r="H4" s="5"/>
      <c r="I4" s="6"/>
      <c r="J4" s="6"/>
      <c r="K4" s="6"/>
      <c r="L4" s="6"/>
      <c r="M4" s="6"/>
      <c r="U4" s="4"/>
    </row>
    <row r="5" spans="1:21" ht="13.5" thickBot="1" x14ac:dyDescent="0.25">
      <c r="A5" s="23" t="s">
        <v>1</v>
      </c>
    </row>
    <row r="6" spans="1:21" ht="26.25" thickBot="1" x14ac:dyDescent="0.25">
      <c r="A6" s="43" t="s">
        <v>2</v>
      </c>
      <c r="B6" s="34" t="s">
        <v>3</v>
      </c>
      <c r="C6" s="34">
        <v>2018</v>
      </c>
      <c r="D6" s="34">
        <v>2019</v>
      </c>
      <c r="E6" s="34">
        <v>2020</v>
      </c>
      <c r="F6" s="34">
        <v>2021</v>
      </c>
      <c r="G6" s="34">
        <v>2022</v>
      </c>
      <c r="H6" s="34">
        <v>2023</v>
      </c>
      <c r="I6" s="34">
        <v>2024</v>
      </c>
      <c r="J6" s="34">
        <v>2025</v>
      </c>
      <c r="K6" s="34">
        <v>2026</v>
      </c>
      <c r="L6" s="34">
        <v>2027</v>
      </c>
      <c r="M6" s="34">
        <v>2028</v>
      </c>
      <c r="N6" s="34">
        <v>2029</v>
      </c>
      <c r="O6" s="34">
        <v>2030</v>
      </c>
      <c r="P6" s="34">
        <v>2031</v>
      </c>
      <c r="Q6" s="34">
        <v>2032</v>
      </c>
      <c r="R6" s="65" t="s">
        <v>4</v>
      </c>
      <c r="S6" s="35" t="s">
        <v>5</v>
      </c>
      <c r="T6" s="31" t="s">
        <v>6</v>
      </c>
    </row>
    <row r="7" spans="1:21" ht="25.5" x14ac:dyDescent="0.2">
      <c r="A7" s="116" t="s">
        <v>7</v>
      </c>
      <c r="B7" s="125" t="s">
        <v>8</v>
      </c>
      <c r="C7" s="33">
        <f>'3. SOMAH Program Admin'!C16</f>
        <v>1896345.1400000001</v>
      </c>
      <c r="D7" s="33">
        <f>SUM('3. SOMAH Program Admin'!D16+'3. SOMAH Program Admin'!C34)</f>
        <v>3361235.9522190001</v>
      </c>
      <c r="E7" s="33">
        <f>'3. SOMAH Program Admin'!D34</f>
        <v>4007489.2824000027</v>
      </c>
      <c r="F7" s="33">
        <f>'3. SOMAH Program Admin'!E34</f>
        <v>3819534.1608076734</v>
      </c>
      <c r="G7" s="33">
        <f>'3. SOMAH Program Admin'!F34</f>
        <v>3708070.1409267485</v>
      </c>
      <c r="H7" s="33">
        <f>'3. SOMAH Program Admin'!G34</f>
        <v>3609332.625500001</v>
      </c>
      <c r="I7" s="33">
        <f>'3. SOMAH Program Admin'!H34</f>
        <v>3435812.7578999992</v>
      </c>
      <c r="J7" s="33">
        <f>'3. SOMAH Program Admin'!I34</f>
        <v>1770597.8699999999</v>
      </c>
      <c r="K7" s="33">
        <f>'3. SOMAH Program Admin'!J34</f>
        <v>0</v>
      </c>
      <c r="L7" s="33">
        <f>'3. SOMAH Program Admin'!K34</f>
        <v>0</v>
      </c>
      <c r="M7" s="33">
        <f>'3. SOMAH Program Admin'!L34</f>
        <v>0</v>
      </c>
      <c r="N7" s="33">
        <f>'3. SOMAH Program Admin'!M34</f>
        <v>0</v>
      </c>
      <c r="O7" s="33">
        <f>'3. SOMAH Program Admin'!N34</f>
        <v>0</v>
      </c>
      <c r="P7" s="33">
        <f>'3. SOMAH Program Admin'!O34</f>
        <v>0</v>
      </c>
      <c r="Q7" s="33">
        <f>'3. SOMAH Program Admin'!P34</f>
        <v>0</v>
      </c>
      <c r="R7" s="66">
        <f>SUM(C7:Q7)</f>
        <v>25608417.929753426</v>
      </c>
      <c r="S7" s="42"/>
      <c r="T7" s="164">
        <f>R7/'2. Program Funding'!M34</f>
        <v>0.29258100375865542</v>
      </c>
    </row>
    <row r="8" spans="1:21" ht="25.5" x14ac:dyDescent="0.2">
      <c r="A8" s="117" t="s">
        <v>9</v>
      </c>
      <c r="B8" s="125" t="s">
        <v>10</v>
      </c>
      <c r="C8" s="7">
        <f>'4. SOMAH Marketing &amp; Outreach'!C16</f>
        <v>412041</v>
      </c>
      <c r="D8" s="7">
        <f>SUM('4. SOMAH Marketing &amp; Outreach'!D16+'4. SOMAH Marketing &amp; Outreach'!C34)</f>
        <v>1681468.3612800003</v>
      </c>
      <c r="E8" s="7">
        <f>'4. SOMAH Marketing &amp; Outreach'!D34</f>
        <v>2158198.0299987001</v>
      </c>
      <c r="F8" s="7">
        <f>'4. SOMAH Marketing &amp; Outreach'!E34</f>
        <v>2817200.1891806237</v>
      </c>
      <c r="G8" s="7">
        <f>'4. SOMAH Marketing &amp; Outreach'!F34</f>
        <v>3235065.3123963992</v>
      </c>
      <c r="H8" s="7">
        <f>'4. SOMAH Marketing &amp; Outreach'!G34</f>
        <v>2895156.1754999994</v>
      </c>
      <c r="I8" s="7">
        <f>'4. SOMAH Marketing &amp; Outreach'!H34</f>
        <v>2470889.7749999999</v>
      </c>
      <c r="J8" s="7">
        <f>'4. SOMAH Marketing &amp; Outreach'!I34</f>
        <v>1013248.7199999996</v>
      </c>
      <c r="K8" s="7">
        <f>'4. SOMAH Marketing &amp; Outreach'!J34</f>
        <v>0</v>
      </c>
      <c r="L8" s="7">
        <f>'4. SOMAH Marketing &amp; Outreach'!K34</f>
        <v>0</v>
      </c>
      <c r="M8" s="7">
        <f>'4. SOMAH Marketing &amp; Outreach'!L34</f>
        <v>0</v>
      </c>
      <c r="N8" s="7">
        <f>'4. SOMAH Marketing &amp; Outreach'!M34</f>
        <v>0</v>
      </c>
      <c r="O8" s="7">
        <f>'4. SOMAH Marketing &amp; Outreach'!N34</f>
        <v>0</v>
      </c>
      <c r="P8" s="7">
        <f>'4. SOMAH Marketing &amp; Outreach'!O34</f>
        <v>0</v>
      </c>
      <c r="Q8" s="7">
        <f>'4. SOMAH Marketing &amp; Outreach'!P34</f>
        <v>0</v>
      </c>
      <c r="R8" s="67">
        <f>SUM(C8:Q8)</f>
        <v>16683267.563355723</v>
      </c>
      <c r="S8" s="42"/>
      <c r="T8" s="164">
        <f>R8/'2. Program Funding'!M34</f>
        <v>0.19060947783070775</v>
      </c>
    </row>
    <row r="9" spans="1:21" ht="25.5" x14ac:dyDescent="0.2">
      <c r="A9" s="117" t="s">
        <v>11</v>
      </c>
      <c r="B9" s="125" t="s">
        <v>12</v>
      </c>
      <c r="C9" s="7">
        <f>'5. SOMAH Workforce Development'!C14</f>
        <v>22049.47</v>
      </c>
      <c r="D9" s="7">
        <f>SUM('5. SOMAH Workforce Development'!D14+'5. SOMAH Workforce Development'!C26)</f>
        <v>282027.20750000002</v>
      </c>
      <c r="E9" s="7">
        <f>'5. SOMAH Workforce Development'!D26</f>
        <v>497326.70850000012</v>
      </c>
      <c r="F9" s="7">
        <f>'5. SOMAH Workforce Development'!E26</f>
        <v>512235.32000000007</v>
      </c>
      <c r="G9" s="7">
        <f>'5. SOMAH Workforce Development'!F26</f>
        <v>552899.70000000007</v>
      </c>
      <c r="H9" s="7">
        <f>'5. SOMAH Workforce Development'!G26</f>
        <v>443027.75999999995</v>
      </c>
      <c r="I9" s="7">
        <f>'5. SOMAH Workforce Development'!H26</f>
        <v>311620.76000000007</v>
      </c>
      <c r="J9" s="7">
        <f>'5. SOMAH Workforce Development'!I26</f>
        <v>147118.85</v>
      </c>
      <c r="K9" s="7">
        <f>'5. SOMAH Workforce Development'!J26</f>
        <v>0</v>
      </c>
      <c r="L9" s="7">
        <f>'5. SOMAH Workforce Development'!K26</f>
        <v>0</v>
      </c>
      <c r="M9" s="7">
        <f>'5. SOMAH Workforce Development'!L26</f>
        <v>0</v>
      </c>
      <c r="N9" s="7">
        <f>'5. SOMAH Workforce Development'!M26</f>
        <v>0</v>
      </c>
      <c r="O9" s="7">
        <f>'5. SOMAH Workforce Development'!N26</f>
        <v>0</v>
      </c>
      <c r="P9" s="7">
        <f>'5. SOMAH Workforce Development'!O26</f>
        <v>0</v>
      </c>
      <c r="Q9" s="7">
        <f>'5. SOMAH Workforce Development'!P26</f>
        <v>0</v>
      </c>
      <c r="R9" s="67">
        <f>SUM(C9:Q9)</f>
        <v>2768305.7760000005</v>
      </c>
      <c r="S9" s="42"/>
      <c r="T9" s="164">
        <f>R9/'2. Program Funding'!M34</f>
        <v>3.1628415502853453E-2</v>
      </c>
    </row>
    <row r="10" spans="1:21" ht="26.25" thickBot="1" x14ac:dyDescent="0.25">
      <c r="A10" s="118" t="s">
        <v>13</v>
      </c>
      <c r="B10" s="125" t="s">
        <v>14</v>
      </c>
      <c r="C10" s="37">
        <f>'6. SOMAH Technical Assistance'!C11</f>
        <v>0</v>
      </c>
      <c r="D10" s="37">
        <f>SUM('6. SOMAH Technical Assistance'!D11)</f>
        <v>232940.64500000002</v>
      </c>
      <c r="E10" s="37">
        <f>'6. SOMAH Technical Assistance'!E11</f>
        <v>186594.241243</v>
      </c>
      <c r="F10" s="37">
        <f>'6. SOMAH Technical Assistance'!F11</f>
        <v>231038.96340000007</v>
      </c>
      <c r="G10" s="37">
        <f>'6. SOMAH Technical Assistance'!G11</f>
        <v>494055.60243500001</v>
      </c>
      <c r="H10" s="37">
        <f>'6. SOMAH Technical Assistance'!H11</f>
        <v>447149.76500000001</v>
      </c>
      <c r="I10" s="37">
        <f>'6. SOMAH Technical Assistance'!I11</f>
        <v>532630.07499999995</v>
      </c>
      <c r="J10" s="37">
        <f>'6. SOMAH Technical Assistance'!J11</f>
        <v>354280.35000000003</v>
      </c>
      <c r="K10" s="37">
        <f>'6. SOMAH Technical Assistance'!K11</f>
        <v>0</v>
      </c>
      <c r="L10" s="37">
        <f>'6. SOMAH Technical Assistance'!L11</f>
        <v>0</v>
      </c>
      <c r="M10" s="37">
        <f>'6. SOMAH Technical Assistance'!M11</f>
        <v>0</v>
      </c>
      <c r="N10" s="37">
        <f>'6. SOMAH Technical Assistance'!N11</f>
        <v>0</v>
      </c>
      <c r="O10" s="37">
        <f>'6. SOMAH Technical Assistance'!O11</f>
        <v>0</v>
      </c>
      <c r="P10" s="37">
        <f>'6. SOMAH Technical Assistance'!P11</f>
        <v>0</v>
      </c>
      <c r="Q10" s="37">
        <f>'6. SOMAH Technical Assistance'!Q11</f>
        <v>0</v>
      </c>
      <c r="R10" s="68">
        <f>SUM(C10:Q10)</f>
        <v>2478689.6420780006</v>
      </c>
      <c r="S10" s="44"/>
      <c r="T10" s="165">
        <f>R10/'2. Program Funding'!M34</f>
        <v>2.8319496560650928E-2</v>
      </c>
    </row>
    <row r="11" spans="1:21" ht="18" customHeight="1" thickBot="1" x14ac:dyDescent="0.25">
      <c r="A11" s="38" t="s">
        <v>15</v>
      </c>
      <c r="B11" s="126"/>
      <c r="C11" s="36">
        <f>SUM(C7:C10)</f>
        <v>2330435.6100000003</v>
      </c>
      <c r="D11" s="36">
        <f>SUM(D7:D10)</f>
        <v>5557672.165998999</v>
      </c>
      <c r="E11" s="36">
        <f t="shared" ref="E11:Q11" si="0">SUM(E7:E10)</f>
        <v>6849608.2621417027</v>
      </c>
      <c r="F11" s="36">
        <f t="shared" si="0"/>
        <v>7380008.6333882967</v>
      </c>
      <c r="G11" s="36">
        <f t="shared" si="0"/>
        <v>7990090.7557581486</v>
      </c>
      <c r="H11" s="36">
        <f t="shared" si="0"/>
        <v>7394666.3260000004</v>
      </c>
      <c r="I11" s="36">
        <f t="shared" si="0"/>
        <v>6750953.367899999</v>
      </c>
      <c r="J11" s="36">
        <f t="shared" si="0"/>
        <v>3285245.7899999996</v>
      </c>
      <c r="K11" s="36">
        <f t="shared" si="0"/>
        <v>0</v>
      </c>
      <c r="L11" s="36">
        <f t="shared" si="0"/>
        <v>0</v>
      </c>
      <c r="M11" s="36">
        <f t="shared" si="0"/>
        <v>0</v>
      </c>
      <c r="N11" s="36">
        <f t="shared" si="0"/>
        <v>0</v>
      </c>
      <c r="O11" s="36">
        <f t="shared" si="0"/>
        <v>0</v>
      </c>
      <c r="P11" s="36">
        <f t="shared" si="0"/>
        <v>0</v>
      </c>
      <c r="Q11" s="36">
        <f t="shared" si="0"/>
        <v>0</v>
      </c>
      <c r="R11" s="160">
        <f>SUM(R7:R10)</f>
        <v>47538680.91118715</v>
      </c>
      <c r="S11" s="161"/>
      <c r="T11" s="166">
        <f>R11/'2. Program Funding'!M34</f>
        <v>0.54313839365286753</v>
      </c>
    </row>
    <row r="12" spans="1:21" ht="25.5" x14ac:dyDescent="0.2">
      <c r="A12" s="114" t="s">
        <v>16</v>
      </c>
      <c r="B12" s="123" t="s">
        <v>17</v>
      </c>
      <c r="C12" s="47">
        <v>0</v>
      </c>
      <c r="D12" s="47">
        <v>0</v>
      </c>
      <c r="E12" s="47">
        <v>231237.25</v>
      </c>
      <c r="F12" s="47">
        <f>275907.3+30</f>
        <v>275937.3</v>
      </c>
      <c r="G12" s="47">
        <f>6535.5+95141.25</f>
        <v>101676.75</v>
      </c>
      <c r="H12" s="47">
        <f>(243655+5215)</f>
        <v>248870</v>
      </c>
      <c r="I12" s="47">
        <v>0</v>
      </c>
      <c r="J12" s="47">
        <v>103156.25</v>
      </c>
      <c r="K12" s="47"/>
      <c r="L12" s="47"/>
      <c r="M12" s="47"/>
      <c r="N12" s="47"/>
      <c r="O12" s="47"/>
      <c r="P12" s="47"/>
      <c r="Q12" s="47"/>
      <c r="R12" s="70">
        <f>SUM(C12:Q12)</f>
        <v>960877.55</v>
      </c>
      <c r="S12" s="44"/>
      <c r="T12" s="164">
        <f>R12/'2. Program Funding'!M34</f>
        <v>1.0978207198872615E-2</v>
      </c>
    </row>
    <row r="13" spans="1:21" ht="39" thickBot="1" x14ac:dyDescent="0.25">
      <c r="A13" s="119" t="s">
        <v>18</v>
      </c>
      <c r="B13" s="124" t="s">
        <v>19</v>
      </c>
      <c r="C13" s="49"/>
      <c r="D13" s="49">
        <v>1409932</v>
      </c>
      <c r="E13" s="49">
        <v>1631015.77</v>
      </c>
      <c r="F13" s="49">
        <v>584941</v>
      </c>
      <c r="G13" s="49">
        <v>710505.74</v>
      </c>
      <c r="H13" s="49">
        <v>955726.07000000007</v>
      </c>
      <c r="I13" s="49">
        <v>947771.95</v>
      </c>
      <c r="J13" s="49">
        <v>737896.95999999996</v>
      </c>
      <c r="K13" s="49"/>
      <c r="L13" s="49"/>
      <c r="M13" s="49"/>
      <c r="N13" s="49"/>
      <c r="O13" s="49"/>
      <c r="P13" s="49"/>
      <c r="Q13" s="49"/>
      <c r="R13" s="71">
        <f>SUM(C13:Q13)</f>
        <v>6977789.4900000002</v>
      </c>
      <c r="S13" s="50"/>
      <c r="T13" s="164">
        <f>R13/'2. Program Funding'!M34</f>
        <v>7.9722560706445553E-2</v>
      </c>
    </row>
    <row r="14" spans="1:21" ht="18" customHeight="1" thickBot="1" x14ac:dyDescent="0.25">
      <c r="A14" s="38" t="s">
        <v>20</v>
      </c>
      <c r="B14" s="126"/>
      <c r="C14" s="36">
        <f>C12+C13</f>
        <v>0</v>
      </c>
      <c r="D14" s="36">
        <f>D12+D13</f>
        <v>1409932</v>
      </c>
      <c r="E14" s="36">
        <f t="shared" ref="E14:R14" si="1">E12+E13</f>
        <v>1862253.02</v>
      </c>
      <c r="F14" s="36">
        <f t="shared" si="1"/>
        <v>860878.3</v>
      </c>
      <c r="G14" s="36">
        <f t="shared" si="1"/>
        <v>812182.49</v>
      </c>
      <c r="H14" s="36">
        <f t="shared" si="1"/>
        <v>1204596.07</v>
      </c>
      <c r="I14" s="36">
        <f t="shared" si="1"/>
        <v>947771.95</v>
      </c>
      <c r="J14" s="36">
        <f t="shared" si="1"/>
        <v>841053.21</v>
      </c>
      <c r="K14" s="36">
        <f t="shared" si="1"/>
        <v>0</v>
      </c>
      <c r="L14" s="36">
        <f t="shared" si="1"/>
        <v>0</v>
      </c>
      <c r="M14" s="36">
        <f t="shared" si="1"/>
        <v>0</v>
      </c>
      <c r="N14" s="36">
        <f t="shared" si="1"/>
        <v>0</v>
      </c>
      <c r="O14" s="36">
        <f t="shared" si="1"/>
        <v>0</v>
      </c>
      <c r="P14" s="36">
        <f t="shared" si="1"/>
        <v>0</v>
      </c>
      <c r="Q14" s="36">
        <f t="shared" si="1"/>
        <v>0</v>
      </c>
      <c r="R14" s="69">
        <f t="shared" si="1"/>
        <v>7938667.04</v>
      </c>
      <c r="S14" s="161"/>
      <c r="T14" s="165">
        <f>R14/'2. Program Funding'!M34</f>
        <v>9.0700767905318155E-2</v>
      </c>
    </row>
    <row r="15" spans="1:21" ht="64.5" thickBot="1" x14ac:dyDescent="0.25">
      <c r="A15" s="48" t="s">
        <v>21</v>
      </c>
      <c r="B15" s="127" t="s">
        <v>22</v>
      </c>
      <c r="C15" s="74">
        <f>C11+C14</f>
        <v>2330435.6100000003</v>
      </c>
      <c r="D15" s="74">
        <f>D11+D14</f>
        <v>6967604.165998999</v>
      </c>
      <c r="E15" s="74">
        <f t="shared" ref="E15:N15" si="2">E11+E14</f>
        <v>8711861.2821417022</v>
      </c>
      <c r="F15" s="74">
        <f t="shared" si="2"/>
        <v>8240886.9333882965</v>
      </c>
      <c r="G15" s="74">
        <f t="shared" si="2"/>
        <v>8802273.2457581479</v>
      </c>
      <c r="H15" s="74">
        <f t="shared" si="2"/>
        <v>8599262.3959999997</v>
      </c>
      <c r="I15" s="74">
        <f t="shared" si="2"/>
        <v>7698725.3178999992</v>
      </c>
      <c r="J15" s="74">
        <f t="shared" si="2"/>
        <v>4126298.9999999995</v>
      </c>
      <c r="K15" s="74">
        <f t="shared" si="2"/>
        <v>0</v>
      </c>
      <c r="L15" s="74">
        <f t="shared" si="2"/>
        <v>0</v>
      </c>
      <c r="M15" s="74">
        <f t="shared" si="2"/>
        <v>0</v>
      </c>
      <c r="N15" s="74">
        <f t="shared" si="2"/>
        <v>0</v>
      </c>
      <c r="O15" s="74">
        <f>O11+O14</f>
        <v>0</v>
      </c>
      <c r="P15" s="74">
        <f t="shared" ref="P15:Q15" si="3">P11+P14</f>
        <v>0</v>
      </c>
      <c r="Q15" s="74">
        <f t="shared" si="3"/>
        <v>0</v>
      </c>
      <c r="R15" s="75">
        <f>R11+R14</f>
        <v>55477347.951187149</v>
      </c>
      <c r="S15" s="162">
        <f>'2. Program Funding'!M34-'1. Expenditures'!R15</f>
        <v>32048559.748812854</v>
      </c>
      <c r="T15" s="163">
        <f>R15/'2. Program Funding'!M34</f>
        <v>0.63383916155818565</v>
      </c>
    </row>
    <row r="16" spans="1:21" x14ac:dyDescent="0.2">
      <c r="A16" s="19"/>
      <c r="B16" s="32"/>
      <c r="C16" s="20"/>
      <c r="D16" s="20"/>
      <c r="E16" s="20"/>
      <c r="F16" s="20"/>
      <c r="G16" s="20"/>
      <c r="H16" s="20"/>
      <c r="I16" s="20"/>
      <c r="J16" s="20"/>
      <c r="K16" s="20"/>
      <c r="L16" s="20"/>
      <c r="M16" s="20"/>
      <c r="N16" s="28"/>
      <c r="O16" s="28"/>
      <c r="P16" s="28"/>
      <c r="Q16" s="28"/>
      <c r="R16" s="28"/>
      <c r="S16" s="21"/>
      <c r="T16" s="22"/>
    </row>
    <row r="17" spans="1:1" ht="132.75" customHeight="1" x14ac:dyDescent="0.2">
      <c r="A17" s="179" t="s">
        <v>23</v>
      </c>
    </row>
  </sheetData>
  <sheetProtection algorithmName="SHA-512" hashValue="RQB5s0mPD1u/Vr0cSFUhMoNuUro/JWckcOvQm3oYj6iPQ8v0WW0GHMpbUef8mGYY7YJps1/yCVeys3a5Cyj/Lg==" saltValue="fd8ByvYZxumfHlGnKxyq9w==" spinCount="100000" sheet="1" objects="1" scenarios="1"/>
  <customSheetViews>
    <customSheetView guid="{9D8689BD-5DE1-44EE-AD85-AABB805F8C74}" hiddenColumns="1" topLeftCell="A51">
      <selection activeCell="K76" sqref="K76"/>
      <pageMargins left="0" right="0" top="0" bottom="0" header="0" footer="0"/>
      <pageSetup orientation="portrait" r:id="rId1"/>
    </customSheetView>
    <customSheetView guid="{524D39D6-D9FA-43B9-A02A-7383F59753BD}" topLeftCell="A10">
      <selection activeCell="B23" sqref="B23"/>
      <pageMargins left="0" right="0" top="0" bottom="0" header="0" footer="0"/>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42F0A-7950-4B75-A208-98099E338B68}">
  <sheetPr>
    <tabColor theme="8" tint="0.39997558519241921"/>
  </sheetPr>
  <dimension ref="A1:O36"/>
  <sheetViews>
    <sheetView topLeftCell="A13" zoomScale="90" zoomScaleNormal="90" workbookViewId="0">
      <pane xSplit="1" topLeftCell="B1" activePane="topRight" state="frozen"/>
      <selection pane="topRight" activeCell="L15" sqref="L15"/>
    </sheetView>
  </sheetViews>
  <sheetFormatPr defaultColWidth="9.140625" defaultRowHeight="12.75" x14ac:dyDescent="0.2"/>
  <cols>
    <col min="1" max="1" width="50.140625" style="6" bestFit="1" customWidth="1"/>
    <col min="2" max="14" width="15.5703125" style="6" customWidth="1"/>
    <col min="15" max="15" width="13" style="6" bestFit="1" customWidth="1"/>
    <col min="16" max="16384" width="9.140625" style="6"/>
  </cols>
  <sheetData>
    <row r="1" spans="1:15" s="2" customFormat="1" ht="15.75" x14ac:dyDescent="0.25">
      <c r="A1" s="128" t="s">
        <v>0</v>
      </c>
      <c r="B1" s="1"/>
      <c r="C1" s="1"/>
    </row>
    <row r="2" spans="1:15" x14ac:dyDescent="0.2">
      <c r="A2" s="180" t="str">
        <f>'1. Expenditures'!A2</f>
        <v>Reporting Date: July 31, 2025</v>
      </c>
      <c r="B2" s="5"/>
      <c r="C2" s="5"/>
      <c r="I2" s="26"/>
    </row>
    <row r="3" spans="1:15" x14ac:dyDescent="0.2">
      <c r="A3" s="180" t="str">
        <f>'1. Expenditures'!A3</f>
        <v>Reporting Data Through: June 30, 2025</v>
      </c>
      <c r="I3" s="26"/>
    </row>
    <row r="4" spans="1:15" x14ac:dyDescent="0.2">
      <c r="I4" s="26"/>
    </row>
    <row r="5" spans="1:15" ht="13.5" thickBot="1" x14ac:dyDescent="0.25">
      <c r="A5" s="23" t="s">
        <v>24</v>
      </c>
    </row>
    <row r="6" spans="1:15" ht="26.25" thickBot="1" x14ac:dyDescent="0.25">
      <c r="A6" s="30" t="s">
        <v>25</v>
      </c>
      <c r="B6" s="43">
        <v>2016</v>
      </c>
      <c r="C6" s="43">
        <v>2017</v>
      </c>
      <c r="D6" s="43">
        <v>2018</v>
      </c>
      <c r="E6" s="43">
        <v>2019</v>
      </c>
      <c r="F6" s="147" t="s">
        <v>26</v>
      </c>
      <c r="G6" s="43" t="s">
        <v>27</v>
      </c>
      <c r="H6" s="43">
        <v>2021</v>
      </c>
      <c r="I6" s="43" t="s">
        <v>305</v>
      </c>
      <c r="J6" s="43">
        <v>2023</v>
      </c>
      <c r="K6" s="43">
        <v>2024</v>
      </c>
      <c r="L6" s="43">
        <v>2025</v>
      </c>
      <c r="M6" s="150" t="s">
        <v>28</v>
      </c>
    </row>
    <row r="7" spans="1:15" x14ac:dyDescent="0.2">
      <c r="A7" s="110" t="s">
        <v>29</v>
      </c>
      <c r="B7" s="79">
        <v>1934435</v>
      </c>
      <c r="C7" s="79">
        <v>4843456</v>
      </c>
      <c r="D7" s="79">
        <v>43700000</v>
      </c>
      <c r="E7" s="79">
        <v>37737000</v>
      </c>
      <c r="F7" s="79">
        <v>35133983</v>
      </c>
      <c r="G7" s="79">
        <v>38776228</v>
      </c>
      <c r="H7" s="79">
        <v>31609200</v>
      </c>
      <c r="I7" s="79">
        <v>46222340</v>
      </c>
      <c r="J7" s="79">
        <v>42666697</v>
      </c>
      <c r="K7" s="79">
        <v>28164771</v>
      </c>
      <c r="L7" s="79">
        <v>14747678</v>
      </c>
      <c r="M7" s="236">
        <f>SUM(B7:L7)</f>
        <v>325535788</v>
      </c>
      <c r="N7" s="151"/>
    </row>
    <row r="8" spans="1:15" ht="15" x14ac:dyDescent="0.25">
      <c r="A8" s="111" t="s">
        <v>30</v>
      </c>
      <c r="B8" s="80">
        <v>3036945</v>
      </c>
      <c r="C8" s="80">
        <v>5040055</v>
      </c>
      <c r="D8" s="80">
        <v>46000000</v>
      </c>
      <c r="E8" s="79">
        <v>33979418</v>
      </c>
      <c r="F8" s="79">
        <v>50602879</v>
      </c>
      <c r="G8" s="79">
        <v>22678768</v>
      </c>
      <c r="H8" s="79">
        <v>63966285</v>
      </c>
      <c r="I8" s="79">
        <v>73364564</v>
      </c>
      <c r="J8" s="79">
        <v>48710716</v>
      </c>
      <c r="K8" s="79">
        <v>27935638</v>
      </c>
      <c r="L8" s="79">
        <v>50209000</v>
      </c>
      <c r="M8" s="237">
        <f>SUM(B8:L8)</f>
        <v>425524268</v>
      </c>
      <c r="N8" s="152"/>
      <c r="O8" s="187"/>
    </row>
    <row r="9" spans="1:15" ht="15" x14ac:dyDescent="0.25">
      <c r="A9" s="111" t="s">
        <v>31</v>
      </c>
      <c r="B9" s="80">
        <v>0</v>
      </c>
      <c r="C9" s="80">
        <v>0</v>
      </c>
      <c r="D9" s="80">
        <v>10300000</v>
      </c>
      <c r="E9" s="79">
        <v>10115640</v>
      </c>
      <c r="F9" s="79">
        <v>12604205</v>
      </c>
      <c r="G9" s="79">
        <v>11438841</v>
      </c>
      <c r="H9" s="79">
        <v>10923507</v>
      </c>
      <c r="I9" s="79">
        <v>20583076</v>
      </c>
      <c r="J9" s="79">
        <v>14949939</v>
      </c>
      <c r="K9" s="79">
        <v>4773766</v>
      </c>
      <c r="L9" s="79">
        <v>13630635</v>
      </c>
      <c r="M9" s="238">
        <f>SUM(B9:L9)</f>
        <v>109319609</v>
      </c>
      <c r="N9" s="152"/>
      <c r="O9" s="187"/>
    </row>
    <row r="10" spans="1:15" ht="15" x14ac:dyDescent="0.25">
      <c r="A10" s="111" t="s">
        <v>32</v>
      </c>
      <c r="B10" s="80">
        <v>469381</v>
      </c>
      <c r="C10" s="80">
        <v>1068101</v>
      </c>
      <c r="D10" s="80">
        <v>1121680</v>
      </c>
      <c r="E10" s="79">
        <v>1278364</v>
      </c>
      <c r="F10" s="79">
        <v>0</v>
      </c>
      <c r="G10" s="79">
        <v>1308215</v>
      </c>
      <c r="H10" s="79">
        <v>1211480</v>
      </c>
      <c r="I10" s="79">
        <v>1680958</v>
      </c>
      <c r="J10" s="79">
        <v>1784879</v>
      </c>
      <c r="K10" s="79">
        <v>1851192</v>
      </c>
      <c r="L10" s="79">
        <v>380469</v>
      </c>
      <c r="M10" s="238">
        <f>SUM(B10:L10)</f>
        <v>12154719</v>
      </c>
      <c r="N10" s="152"/>
      <c r="O10" s="187"/>
    </row>
    <row r="11" spans="1:15" ht="15.75" thickBot="1" x14ac:dyDescent="0.3">
      <c r="A11" s="112" t="s">
        <v>33</v>
      </c>
      <c r="B11" s="81">
        <v>147156</v>
      </c>
      <c r="C11" s="81">
        <v>287032</v>
      </c>
      <c r="D11" s="81">
        <v>349673</v>
      </c>
      <c r="E11" s="79">
        <v>466130</v>
      </c>
      <c r="F11" s="79">
        <v>0</v>
      </c>
      <c r="G11" s="79">
        <v>362585</v>
      </c>
      <c r="H11" s="79">
        <v>333475</v>
      </c>
      <c r="I11" s="79">
        <v>446231</v>
      </c>
      <c r="J11" s="79">
        <v>332411</v>
      </c>
      <c r="K11" s="79">
        <v>0</v>
      </c>
      <c r="L11" s="79"/>
      <c r="M11" s="238">
        <f>SUM(B11:L11)</f>
        <v>2724693</v>
      </c>
      <c r="N11" s="152"/>
      <c r="O11" s="187"/>
    </row>
    <row r="12" spans="1:15" ht="15.75" thickBot="1" x14ac:dyDescent="0.3">
      <c r="A12" s="38" t="s">
        <v>34</v>
      </c>
      <c r="B12" s="36">
        <f>(B7+B8+B9+B10+B11)</f>
        <v>5587917</v>
      </c>
      <c r="C12" s="36">
        <f t="shared" ref="C12:H12" si="0">(C7+C8+C9+C10+C11)</f>
        <v>11238644</v>
      </c>
      <c r="D12" s="36">
        <f t="shared" si="0"/>
        <v>101471353</v>
      </c>
      <c r="E12" s="36">
        <f t="shared" si="0"/>
        <v>83576552</v>
      </c>
      <c r="F12" s="36">
        <f t="shared" si="0"/>
        <v>98341067</v>
      </c>
      <c r="G12" s="36">
        <f t="shared" si="0"/>
        <v>74564637</v>
      </c>
      <c r="H12" s="36">
        <f t="shared" si="0"/>
        <v>108043947</v>
      </c>
      <c r="I12" s="36">
        <f t="shared" ref="I12" si="1">(I7+I8+I9+I10+I11)</f>
        <v>142297169</v>
      </c>
      <c r="J12" s="36">
        <f t="shared" ref="J12" si="2">(J7+J8+J9+J10+J11)</f>
        <v>108444642</v>
      </c>
      <c r="K12" s="36">
        <f t="shared" ref="K12" si="3">(K7+K8+K9+K10+K11)</f>
        <v>62725367</v>
      </c>
      <c r="L12" s="36">
        <f t="shared" ref="L12" si="4">(L7+L8+L9+L10+L11)</f>
        <v>78967782</v>
      </c>
      <c r="M12" s="235">
        <f>SUM(M7:M11)</f>
        <v>875259077</v>
      </c>
      <c r="N12" s="153"/>
      <c r="O12" s="188"/>
    </row>
    <row r="13" spans="1:15" ht="54.75" customHeight="1" x14ac:dyDescent="0.2">
      <c r="A13" s="242" t="s">
        <v>35</v>
      </c>
      <c r="B13" s="242"/>
      <c r="C13" s="32"/>
      <c r="D13" s="32"/>
      <c r="E13" s="32"/>
      <c r="F13" s="32"/>
      <c r="G13" s="32"/>
      <c r="H13" s="32"/>
      <c r="I13" s="32"/>
      <c r="J13" s="32"/>
      <c r="K13" s="32"/>
      <c r="L13" s="32"/>
      <c r="M13" s="32"/>
      <c r="N13" s="32"/>
    </row>
    <row r="14" spans="1:15" ht="47.25" customHeight="1" x14ac:dyDescent="0.2">
      <c r="A14" s="243" t="s">
        <v>306</v>
      </c>
      <c r="B14" s="243"/>
      <c r="C14" s="32"/>
      <c r="D14" s="32"/>
      <c r="E14" s="32"/>
      <c r="F14" s="32"/>
      <c r="G14" s="32"/>
      <c r="H14" s="32"/>
      <c r="I14" s="32"/>
      <c r="J14" s="32"/>
      <c r="K14" s="32"/>
      <c r="L14" s="32"/>
      <c r="M14" s="32"/>
      <c r="N14" s="32"/>
    </row>
    <row r="15" spans="1:15" ht="105" customHeight="1" x14ac:dyDescent="0.2">
      <c r="A15" s="243" t="s">
        <v>374</v>
      </c>
      <c r="B15" s="243"/>
      <c r="C15" s="243"/>
      <c r="D15" s="32"/>
      <c r="E15" s="32"/>
      <c r="F15" s="32"/>
      <c r="G15" s="32"/>
      <c r="H15" s="32"/>
      <c r="I15" s="32"/>
      <c r="J15" s="32"/>
      <c r="K15" s="32"/>
      <c r="L15" s="32"/>
      <c r="M15" s="32"/>
      <c r="N15" s="32"/>
    </row>
    <row r="16" spans="1:15" x14ac:dyDescent="0.2">
      <c r="A16" s="19"/>
      <c r="B16" s="19"/>
      <c r="C16" s="19"/>
      <c r="D16" s="20"/>
      <c r="E16" s="20"/>
      <c r="F16" s="20"/>
      <c r="G16" s="20"/>
      <c r="H16" s="20"/>
      <c r="I16" s="20"/>
      <c r="J16" s="20"/>
      <c r="K16" s="20"/>
      <c r="L16" s="20"/>
      <c r="M16" s="28"/>
      <c r="N16" s="154"/>
    </row>
    <row r="17" spans="1:15" ht="13.5" thickBot="1" x14ac:dyDescent="0.25">
      <c r="A17" s="23" t="s">
        <v>36</v>
      </c>
      <c r="B17" s="19"/>
      <c r="C17" s="19"/>
      <c r="D17" s="20"/>
      <c r="E17" s="20"/>
      <c r="F17" s="20"/>
      <c r="G17" s="20"/>
      <c r="H17" s="20"/>
      <c r="I17" s="20"/>
      <c r="J17" s="20"/>
      <c r="K17" s="20"/>
      <c r="L17" s="20"/>
      <c r="M17" s="28"/>
      <c r="N17" s="154"/>
      <c r="O17" s="26"/>
    </row>
    <row r="18" spans="1:15" ht="26.25" thickBot="1" x14ac:dyDescent="0.25">
      <c r="A18" s="30" t="s">
        <v>25</v>
      </c>
      <c r="B18" s="43">
        <v>2016</v>
      </c>
      <c r="C18" s="43">
        <v>2017</v>
      </c>
      <c r="D18" s="43">
        <v>2018</v>
      </c>
      <c r="E18" s="43">
        <v>2019</v>
      </c>
      <c r="F18" s="147" t="s">
        <v>37</v>
      </c>
      <c r="G18" s="43">
        <v>2020</v>
      </c>
      <c r="H18" s="43">
        <v>2021</v>
      </c>
      <c r="I18" s="43">
        <v>2022</v>
      </c>
      <c r="J18" s="43">
        <v>2023</v>
      </c>
      <c r="K18" s="43">
        <v>2024</v>
      </c>
      <c r="L18" s="43">
        <v>2025</v>
      </c>
      <c r="M18" s="150" t="s">
        <v>28</v>
      </c>
    </row>
    <row r="19" spans="1:15" x14ac:dyDescent="0.2">
      <c r="A19" s="110" t="s">
        <v>29</v>
      </c>
      <c r="B19" s="79">
        <f t="shared" ref="B19:L19" si="5">B7*0.9</f>
        <v>1740991.5</v>
      </c>
      <c r="C19" s="79">
        <f t="shared" si="5"/>
        <v>4359110.4000000004</v>
      </c>
      <c r="D19" s="79">
        <f t="shared" si="5"/>
        <v>39330000</v>
      </c>
      <c r="E19" s="79">
        <f t="shared" si="5"/>
        <v>33963300</v>
      </c>
      <c r="F19" s="79">
        <f t="shared" si="5"/>
        <v>31620584.699999999</v>
      </c>
      <c r="G19" s="79">
        <f t="shared" si="5"/>
        <v>34898605.200000003</v>
      </c>
      <c r="H19" s="79">
        <f t="shared" si="5"/>
        <v>28448280</v>
      </c>
      <c r="I19" s="79">
        <f t="shared" si="5"/>
        <v>41600106</v>
      </c>
      <c r="J19" s="79">
        <f t="shared" si="5"/>
        <v>38400027.300000004</v>
      </c>
      <c r="K19" s="79">
        <f t="shared" si="5"/>
        <v>25348293.900000002</v>
      </c>
      <c r="L19" s="79">
        <f t="shared" si="5"/>
        <v>13272910.200000001</v>
      </c>
      <c r="M19" s="236">
        <f>SUM(B19:L19)</f>
        <v>292982209.19999999</v>
      </c>
      <c r="N19" s="151"/>
    </row>
    <row r="20" spans="1:15" x14ac:dyDescent="0.2">
      <c r="A20" s="111" t="s">
        <v>30</v>
      </c>
      <c r="B20" s="79">
        <f t="shared" ref="B20:L20" si="6">B8*0.9</f>
        <v>2733250.5</v>
      </c>
      <c r="C20" s="79">
        <f t="shared" si="6"/>
        <v>4536049.5</v>
      </c>
      <c r="D20" s="79">
        <f t="shared" si="6"/>
        <v>41400000</v>
      </c>
      <c r="E20" s="79">
        <f t="shared" si="6"/>
        <v>30581476.199999999</v>
      </c>
      <c r="F20" s="79">
        <f t="shared" si="6"/>
        <v>45542591.100000001</v>
      </c>
      <c r="G20" s="79">
        <f t="shared" si="6"/>
        <v>20410891.199999999</v>
      </c>
      <c r="H20" s="79">
        <f t="shared" si="6"/>
        <v>57569656.5</v>
      </c>
      <c r="I20" s="79">
        <f t="shared" si="6"/>
        <v>66028107.600000001</v>
      </c>
      <c r="J20" s="79">
        <f t="shared" si="6"/>
        <v>43839644.399999999</v>
      </c>
      <c r="K20" s="79">
        <f t="shared" si="6"/>
        <v>25142074.199999999</v>
      </c>
      <c r="L20" s="79">
        <f t="shared" si="6"/>
        <v>45188100</v>
      </c>
      <c r="M20" s="237">
        <f>SUM(B20:L20)</f>
        <v>382971841.19999999</v>
      </c>
      <c r="N20" s="152"/>
    </row>
    <row r="21" spans="1:15" x14ac:dyDescent="0.2">
      <c r="A21" s="111" t="s">
        <v>31</v>
      </c>
      <c r="B21" s="79">
        <f t="shared" ref="B21:L21" si="7">B9*0.9</f>
        <v>0</v>
      </c>
      <c r="C21" s="79">
        <f t="shared" si="7"/>
        <v>0</v>
      </c>
      <c r="D21" s="79">
        <f t="shared" si="7"/>
        <v>9270000</v>
      </c>
      <c r="E21" s="79">
        <f t="shared" si="7"/>
        <v>9104076</v>
      </c>
      <c r="F21" s="79">
        <f t="shared" si="7"/>
        <v>11343784.5</v>
      </c>
      <c r="G21" s="79">
        <f t="shared" si="7"/>
        <v>10294956.9</v>
      </c>
      <c r="H21" s="79">
        <f t="shared" si="7"/>
        <v>9831156.3000000007</v>
      </c>
      <c r="I21" s="79">
        <f t="shared" si="7"/>
        <v>18524768.400000002</v>
      </c>
      <c r="J21" s="79">
        <f t="shared" si="7"/>
        <v>13454945.1</v>
      </c>
      <c r="K21" s="79">
        <f t="shared" si="7"/>
        <v>4296389.4000000004</v>
      </c>
      <c r="L21" s="79">
        <f t="shared" si="7"/>
        <v>12267571.5</v>
      </c>
      <c r="M21" s="238">
        <f>SUM(B21:L21)</f>
        <v>98387648.100000009</v>
      </c>
      <c r="N21" s="152"/>
    </row>
    <row r="22" spans="1:15" x14ac:dyDescent="0.2">
      <c r="A22" s="111" t="s">
        <v>32</v>
      </c>
      <c r="B22" s="79">
        <f t="shared" ref="B22:L22" si="8">B10*0.9</f>
        <v>422442.9</v>
      </c>
      <c r="C22" s="79">
        <f t="shared" si="8"/>
        <v>961290.9</v>
      </c>
      <c r="D22" s="79">
        <f t="shared" si="8"/>
        <v>1009512</v>
      </c>
      <c r="E22" s="79">
        <f t="shared" si="8"/>
        <v>1150527.6000000001</v>
      </c>
      <c r="F22" s="79">
        <f t="shared" si="8"/>
        <v>0</v>
      </c>
      <c r="G22" s="79">
        <f t="shared" si="8"/>
        <v>1177393.5</v>
      </c>
      <c r="H22" s="79">
        <f t="shared" si="8"/>
        <v>1090332</v>
      </c>
      <c r="I22" s="79">
        <f t="shared" si="8"/>
        <v>1512862.2</v>
      </c>
      <c r="J22" s="79">
        <f t="shared" si="8"/>
        <v>1606391.1</v>
      </c>
      <c r="K22" s="79">
        <f t="shared" si="8"/>
        <v>1666072.8</v>
      </c>
      <c r="L22" s="79">
        <f t="shared" si="8"/>
        <v>342422.10000000003</v>
      </c>
      <c r="M22" s="238">
        <f>SUM(B22:L22)</f>
        <v>10939247.100000001</v>
      </c>
      <c r="N22" s="152"/>
    </row>
    <row r="23" spans="1:15" ht="13.5" thickBot="1" x14ac:dyDescent="0.25">
      <c r="A23" s="112" t="s">
        <v>33</v>
      </c>
      <c r="B23" s="79">
        <f t="shared" ref="B23:L23" si="9">B11*0.9</f>
        <v>132440.4</v>
      </c>
      <c r="C23" s="79">
        <f t="shared" si="9"/>
        <v>258328.80000000002</v>
      </c>
      <c r="D23" s="79">
        <f t="shared" si="9"/>
        <v>314705.7</v>
      </c>
      <c r="E23" s="79">
        <f t="shared" si="9"/>
        <v>419517</v>
      </c>
      <c r="F23" s="79">
        <f t="shared" si="9"/>
        <v>0</v>
      </c>
      <c r="G23" s="79">
        <f t="shared" si="9"/>
        <v>326326.5</v>
      </c>
      <c r="H23" s="79">
        <f t="shared" si="9"/>
        <v>300127.5</v>
      </c>
      <c r="I23" s="79">
        <f t="shared" si="9"/>
        <v>401607.9</v>
      </c>
      <c r="J23" s="79">
        <f t="shared" si="9"/>
        <v>299169.90000000002</v>
      </c>
      <c r="K23" s="79">
        <f t="shared" si="9"/>
        <v>0</v>
      </c>
      <c r="L23" s="79">
        <f t="shared" si="9"/>
        <v>0</v>
      </c>
      <c r="M23" s="238">
        <f>SUM(B23:L23)</f>
        <v>2452223.6999999997</v>
      </c>
      <c r="N23" s="152"/>
    </row>
    <row r="24" spans="1:15" ht="13.5" thickBot="1" x14ac:dyDescent="0.25">
      <c r="A24" s="38" t="s">
        <v>38</v>
      </c>
      <c r="B24" s="155">
        <f>SUM(B19:B23)</f>
        <v>5029125.3000000007</v>
      </c>
      <c r="C24" s="155">
        <f t="shared" ref="C24:M24" si="10">SUM(C19:C23)</f>
        <v>10114779.600000001</v>
      </c>
      <c r="D24" s="155">
        <f t="shared" si="10"/>
        <v>91324217.700000003</v>
      </c>
      <c r="E24" s="155">
        <f t="shared" si="10"/>
        <v>75218896.799999997</v>
      </c>
      <c r="F24" s="155">
        <f t="shared" si="10"/>
        <v>88506960.299999997</v>
      </c>
      <c r="G24" s="155">
        <f t="shared" si="10"/>
        <v>67108173.300000004</v>
      </c>
      <c r="H24" s="155">
        <f t="shared" si="10"/>
        <v>97239552.299999997</v>
      </c>
      <c r="I24" s="155">
        <f t="shared" si="10"/>
        <v>128067452.10000001</v>
      </c>
      <c r="J24" s="155">
        <f t="shared" si="10"/>
        <v>97600177.799999997</v>
      </c>
      <c r="K24" s="155">
        <f t="shared" si="10"/>
        <v>56452830.299999997</v>
      </c>
      <c r="L24" s="239">
        <f t="shared" si="10"/>
        <v>71071003.799999997</v>
      </c>
      <c r="M24" s="239">
        <f t="shared" si="10"/>
        <v>787733169.30000007</v>
      </c>
      <c r="N24" s="153"/>
    </row>
    <row r="25" spans="1:15" x14ac:dyDescent="0.2">
      <c r="A25" s="156"/>
      <c r="B25" s="157"/>
      <c r="C25" s="32"/>
      <c r="D25" s="32"/>
      <c r="E25" s="32"/>
      <c r="F25" s="32"/>
      <c r="G25" s="32"/>
      <c r="H25" s="32"/>
      <c r="I25" s="32"/>
      <c r="J25" s="32"/>
      <c r="K25" s="32"/>
      <c r="L25" s="32"/>
      <c r="M25" s="32"/>
      <c r="N25" s="32"/>
    </row>
    <row r="26" spans="1:15" x14ac:dyDescent="0.2">
      <c r="A26" s="19"/>
      <c r="B26" s="19"/>
      <c r="C26" s="19"/>
      <c r="D26" s="20"/>
      <c r="E26" s="20"/>
      <c r="F26" s="20"/>
      <c r="G26" s="20"/>
      <c r="H26" s="20"/>
      <c r="I26" s="20"/>
      <c r="J26" s="20"/>
      <c r="K26" s="20"/>
      <c r="L26" s="20"/>
      <c r="M26" s="28"/>
      <c r="N26" s="154"/>
    </row>
    <row r="27" spans="1:15" ht="13.5" thickBot="1" x14ac:dyDescent="0.25">
      <c r="A27" s="23" t="s">
        <v>39</v>
      </c>
      <c r="B27" s="19"/>
      <c r="C27" s="19"/>
      <c r="D27" s="20"/>
      <c r="E27" s="20"/>
      <c r="F27" s="20"/>
      <c r="G27" s="20"/>
      <c r="H27" s="20"/>
      <c r="I27" s="20"/>
      <c r="J27" s="20"/>
      <c r="K27" s="20"/>
      <c r="L27" s="20"/>
      <c r="M27" s="28"/>
      <c r="N27" s="154"/>
    </row>
    <row r="28" spans="1:15" ht="26.25" thickBot="1" x14ac:dyDescent="0.25">
      <c r="A28" s="30" t="s">
        <v>25</v>
      </c>
      <c r="B28" s="43">
        <v>2016</v>
      </c>
      <c r="C28" s="43">
        <v>2017</v>
      </c>
      <c r="D28" s="43">
        <v>2018</v>
      </c>
      <c r="E28" s="43">
        <v>2019</v>
      </c>
      <c r="F28" s="147" t="s">
        <v>37</v>
      </c>
      <c r="G28" s="43">
        <v>2020</v>
      </c>
      <c r="H28" s="43">
        <v>2021</v>
      </c>
      <c r="I28" s="43">
        <v>2022</v>
      </c>
      <c r="J28" s="43">
        <v>2023</v>
      </c>
      <c r="K28" s="43">
        <v>2024</v>
      </c>
      <c r="L28" s="43">
        <v>2025</v>
      </c>
      <c r="M28" s="150" t="s">
        <v>28</v>
      </c>
    </row>
    <row r="29" spans="1:15" x14ac:dyDescent="0.2">
      <c r="A29" s="110" t="s">
        <v>29</v>
      </c>
      <c r="B29" s="79">
        <f t="shared" ref="B29:L29" si="11">B7*0.1</f>
        <v>193443.5</v>
      </c>
      <c r="C29" s="79">
        <f t="shared" si="11"/>
        <v>484345.60000000003</v>
      </c>
      <c r="D29" s="79">
        <f t="shared" si="11"/>
        <v>4370000</v>
      </c>
      <c r="E29" s="79">
        <f t="shared" si="11"/>
        <v>3773700</v>
      </c>
      <c r="F29" s="79">
        <f t="shared" si="11"/>
        <v>3513398.3000000003</v>
      </c>
      <c r="G29" s="79">
        <f t="shared" si="11"/>
        <v>3877622.8000000003</v>
      </c>
      <c r="H29" s="79">
        <f t="shared" si="11"/>
        <v>3160920</v>
      </c>
      <c r="I29" s="79">
        <f t="shared" si="11"/>
        <v>4622234</v>
      </c>
      <c r="J29" s="79">
        <f t="shared" si="11"/>
        <v>4266669.7</v>
      </c>
      <c r="K29" s="79">
        <f t="shared" si="11"/>
        <v>2816477.1</v>
      </c>
      <c r="L29" s="79">
        <f t="shared" si="11"/>
        <v>1474767.8</v>
      </c>
      <c r="M29" s="236">
        <f>SUM(B29:L29)</f>
        <v>32553578.800000004</v>
      </c>
      <c r="N29" s="151"/>
    </row>
    <row r="30" spans="1:15" x14ac:dyDescent="0.2">
      <c r="A30" s="111" t="s">
        <v>30</v>
      </c>
      <c r="B30" s="79">
        <f t="shared" ref="B30:L30" si="12">B8*0.1</f>
        <v>303694.5</v>
      </c>
      <c r="C30" s="79">
        <f t="shared" si="12"/>
        <v>504005.5</v>
      </c>
      <c r="D30" s="79">
        <f t="shared" si="12"/>
        <v>4600000</v>
      </c>
      <c r="E30" s="79">
        <f t="shared" si="12"/>
        <v>3397941.8000000003</v>
      </c>
      <c r="F30" s="79">
        <f t="shared" si="12"/>
        <v>5060287.9000000004</v>
      </c>
      <c r="G30" s="79">
        <f t="shared" si="12"/>
        <v>2267876.8000000003</v>
      </c>
      <c r="H30" s="79">
        <f t="shared" si="12"/>
        <v>6396628.5</v>
      </c>
      <c r="I30" s="79">
        <f t="shared" si="12"/>
        <v>7336456.4000000004</v>
      </c>
      <c r="J30" s="79">
        <f t="shared" si="12"/>
        <v>4871071.6000000006</v>
      </c>
      <c r="K30" s="79">
        <f t="shared" si="12"/>
        <v>2793563.8000000003</v>
      </c>
      <c r="L30" s="79">
        <f t="shared" si="12"/>
        <v>5020900</v>
      </c>
      <c r="M30" s="237">
        <f>SUM(B30:L30)</f>
        <v>42552426.799999997</v>
      </c>
      <c r="N30" s="152"/>
    </row>
    <row r="31" spans="1:15" x14ac:dyDescent="0.2">
      <c r="A31" s="111" t="s">
        <v>31</v>
      </c>
      <c r="B31" s="79">
        <f t="shared" ref="B31:L31" si="13">B9*0.1</f>
        <v>0</v>
      </c>
      <c r="C31" s="79">
        <f t="shared" si="13"/>
        <v>0</v>
      </c>
      <c r="D31" s="79">
        <f t="shared" si="13"/>
        <v>1030000</v>
      </c>
      <c r="E31" s="79">
        <f t="shared" si="13"/>
        <v>1011564</v>
      </c>
      <c r="F31" s="79">
        <f t="shared" si="13"/>
        <v>1260420.5</v>
      </c>
      <c r="G31" s="79">
        <f t="shared" si="13"/>
        <v>1143884.1000000001</v>
      </c>
      <c r="H31" s="79">
        <f t="shared" si="13"/>
        <v>1092350.7</v>
      </c>
      <c r="I31" s="79">
        <f t="shared" si="13"/>
        <v>2058307.6</v>
      </c>
      <c r="J31" s="79">
        <f t="shared" si="13"/>
        <v>1494993.9000000001</v>
      </c>
      <c r="K31" s="79">
        <f t="shared" si="13"/>
        <v>477376.60000000003</v>
      </c>
      <c r="L31" s="79">
        <f t="shared" si="13"/>
        <v>1363063.5</v>
      </c>
      <c r="M31" s="238">
        <f>SUM(B31:L31)</f>
        <v>10931960.9</v>
      </c>
      <c r="N31" s="152"/>
    </row>
    <row r="32" spans="1:15" x14ac:dyDescent="0.2">
      <c r="A32" s="111" t="s">
        <v>32</v>
      </c>
      <c r="B32" s="79">
        <f t="shared" ref="B32:L32" si="14">B10*0.1</f>
        <v>46938.100000000006</v>
      </c>
      <c r="C32" s="79">
        <f t="shared" si="14"/>
        <v>106810.1</v>
      </c>
      <c r="D32" s="79">
        <f t="shared" si="14"/>
        <v>112168</v>
      </c>
      <c r="E32" s="79">
        <f t="shared" si="14"/>
        <v>127836.40000000001</v>
      </c>
      <c r="F32" s="79">
        <f t="shared" si="14"/>
        <v>0</v>
      </c>
      <c r="G32" s="79">
        <f t="shared" si="14"/>
        <v>130821.5</v>
      </c>
      <c r="H32" s="79">
        <f t="shared" si="14"/>
        <v>121148</v>
      </c>
      <c r="I32" s="79">
        <f t="shared" si="14"/>
        <v>168095.80000000002</v>
      </c>
      <c r="J32" s="79">
        <f t="shared" si="14"/>
        <v>178487.90000000002</v>
      </c>
      <c r="K32" s="79">
        <f t="shared" si="14"/>
        <v>185119.2</v>
      </c>
      <c r="L32" s="79">
        <f t="shared" si="14"/>
        <v>38046.9</v>
      </c>
      <c r="M32" s="238">
        <f>SUM(B32:L32)</f>
        <v>1215471.9000000001</v>
      </c>
      <c r="N32" s="152"/>
    </row>
    <row r="33" spans="1:14" ht="13.5" thickBot="1" x14ac:dyDescent="0.25">
      <c r="A33" s="112" t="s">
        <v>33</v>
      </c>
      <c r="B33" s="79">
        <f t="shared" ref="B33:L33" si="15">B11*0.1</f>
        <v>14715.6</v>
      </c>
      <c r="C33" s="79">
        <f t="shared" si="15"/>
        <v>28703.200000000001</v>
      </c>
      <c r="D33" s="79">
        <f t="shared" si="15"/>
        <v>34967.300000000003</v>
      </c>
      <c r="E33" s="79">
        <f t="shared" si="15"/>
        <v>46613</v>
      </c>
      <c r="F33" s="79">
        <f t="shared" si="15"/>
        <v>0</v>
      </c>
      <c r="G33" s="79">
        <f t="shared" si="15"/>
        <v>36258.5</v>
      </c>
      <c r="H33" s="79">
        <f t="shared" si="15"/>
        <v>33347.5</v>
      </c>
      <c r="I33" s="79">
        <f t="shared" si="15"/>
        <v>44623.100000000006</v>
      </c>
      <c r="J33" s="79">
        <f t="shared" si="15"/>
        <v>33241.1</v>
      </c>
      <c r="K33" s="79">
        <f t="shared" si="15"/>
        <v>0</v>
      </c>
      <c r="L33" s="79">
        <f t="shared" si="15"/>
        <v>0</v>
      </c>
      <c r="M33" s="238">
        <f>SUM(B33:L33)</f>
        <v>272469.3</v>
      </c>
      <c r="N33" s="152"/>
    </row>
    <row r="34" spans="1:14" ht="13.5" thickBot="1" x14ac:dyDescent="0.25">
      <c r="A34" s="38" t="s">
        <v>40</v>
      </c>
      <c r="B34" s="155">
        <f>SUM(B29:B33)</f>
        <v>558791.69999999995</v>
      </c>
      <c r="C34" s="155">
        <f t="shared" ref="C34:M34" si="16">SUM(C29:C33)</f>
        <v>1123864.4000000001</v>
      </c>
      <c r="D34" s="155">
        <f t="shared" si="16"/>
        <v>10147135.300000001</v>
      </c>
      <c r="E34" s="155">
        <f t="shared" si="16"/>
        <v>8357655.2000000011</v>
      </c>
      <c r="F34" s="155">
        <f t="shared" si="16"/>
        <v>9834106.7000000011</v>
      </c>
      <c r="G34" s="155">
        <f t="shared" si="16"/>
        <v>7456463.7000000011</v>
      </c>
      <c r="H34" s="155">
        <f t="shared" si="16"/>
        <v>10804394.699999999</v>
      </c>
      <c r="I34" s="155">
        <f t="shared" si="16"/>
        <v>14229716.9</v>
      </c>
      <c r="J34" s="155">
        <f t="shared" si="16"/>
        <v>10844464.200000001</v>
      </c>
      <c r="K34" s="155">
        <f t="shared" si="16"/>
        <v>6272536.7000000002</v>
      </c>
      <c r="L34" s="239">
        <f t="shared" si="16"/>
        <v>7896778.2000000002</v>
      </c>
      <c r="M34" s="239">
        <f t="shared" si="16"/>
        <v>87525907.700000003</v>
      </c>
      <c r="N34" s="153"/>
    </row>
    <row r="35" spans="1:14" ht="38.25" customHeight="1" x14ac:dyDescent="0.2">
      <c r="A35" s="141" t="s">
        <v>41</v>
      </c>
      <c r="B35" s="158"/>
      <c r="C35" s="158"/>
      <c r="D35" s="158"/>
      <c r="E35" s="158"/>
      <c r="F35" s="158"/>
      <c r="G35" s="158"/>
      <c r="H35" s="158"/>
      <c r="I35" s="158"/>
      <c r="J35" s="158"/>
      <c r="K35" s="158"/>
      <c r="L35" s="158"/>
      <c r="M35" s="158"/>
    </row>
    <row r="36" spans="1:14" x14ac:dyDescent="0.2">
      <c r="A36" s="159"/>
      <c r="B36" s="158"/>
      <c r="C36" s="158"/>
      <c r="D36" s="158"/>
      <c r="E36" s="158"/>
      <c r="F36" s="158"/>
      <c r="G36" s="158"/>
      <c r="H36" s="158"/>
      <c r="I36" s="158"/>
      <c r="J36" s="158"/>
      <c r="K36" s="158"/>
      <c r="L36" s="158"/>
      <c r="M36" s="158"/>
    </row>
  </sheetData>
  <sheetProtection algorithmName="SHA-512" hashValue="HuFxveD2bK9FK4JCAiaMXkAzdSvay46ejEHpUTppoTCWleyuEZc7ovnJMIAEaa5s2sOMwc8jcdBUHvrJn+/t4Q==" saltValue="1pzM3cf1x4wEGlmnzOcroQ==" spinCount="100000" sheet="1" objects="1" scenarios="1"/>
  <mergeCells count="3">
    <mergeCell ref="A13:B13"/>
    <mergeCell ref="A14:B14"/>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U54"/>
  <sheetViews>
    <sheetView topLeftCell="A17" zoomScale="80" zoomScaleNormal="80" workbookViewId="0">
      <pane xSplit="1" topLeftCell="B1" activePane="topRight" state="frozen"/>
      <selection pane="topRight" activeCell="E36" sqref="E36"/>
    </sheetView>
  </sheetViews>
  <sheetFormatPr defaultColWidth="9.140625" defaultRowHeight="15" x14ac:dyDescent="0.25"/>
  <cols>
    <col min="1" max="1" width="60.5703125" customWidth="1"/>
    <col min="2" max="2" width="33.42578125" bestFit="1" customWidth="1"/>
    <col min="3" max="17" width="17.42578125" style="9" customWidth="1"/>
    <col min="18" max="18" width="45.85546875" customWidth="1"/>
    <col min="19" max="19" width="11.140625" customWidth="1"/>
    <col min="20" max="20" width="11.5703125" customWidth="1"/>
    <col min="21" max="21" width="13.42578125" customWidth="1"/>
    <col min="22" max="22" width="11.42578125" bestFit="1" customWidth="1"/>
  </cols>
  <sheetData>
    <row r="1" spans="1:21" s="2" customFormat="1" ht="15.75" x14ac:dyDescent="0.25">
      <c r="A1" s="128" t="str">
        <f>'1. Expenditures'!A1</f>
        <v>SOMAH Program Administrator</v>
      </c>
      <c r="C1" s="25"/>
      <c r="D1" s="25"/>
      <c r="E1" s="25"/>
      <c r="F1" s="25"/>
      <c r="G1" s="25"/>
      <c r="H1" s="25"/>
      <c r="I1" s="25"/>
      <c r="J1" s="25"/>
      <c r="K1" s="25"/>
      <c r="L1" s="25"/>
      <c r="M1" s="25"/>
      <c r="N1" s="25"/>
      <c r="O1" s="25"/>
      <c r="P1" s="25"/>
      <c r="Q1" s="25"/>
    </row>
    <row r="2" spans="1:21" x14ac:dyDescent="0.25">
      <c r="A2" s="182" t="str">
        <f>'1. Expenditures'!A2</f>
        <v>Reporting Date: July 31, 2025</v>
      </c>
      <c r="B2" s="6"/>
      <c r="C2" s="26"/>
      <c r="D2" s="26"/>
      <c r="E2" s="26"/>
      <c r="F2" s="26"/>
      <c r="G2" s="26"/>
      <c r="H2" s="26"/>
      <c r="I2" s="26"/>
      <c r="J2" s="26"/>
      <c r="K2" s="26"/>
      <c r="L2" s="26"/>
      <c r="M2" s="26"/>
      <c r="N2" s="26"/>
      <c r="O2" s="26"/>
      <c r="P2" s="26"/>
      <c r="Q2" s="26"/>
      <c r="R2" s="6"/>
      <c r="S2" s="6"/>
      <c r="T2" s="6"/>
      <c r="U2" s="6"/>
    </row>
    <row r="3" spans="1:21" x14ac:dyDescent="0.25">
      <c r="A3" s="182" t="str">
        <f>'1. Expenditures'!A3</f>
        <v>Reporting Data Through: June 30, 2025</v>
      </c>
      <c r="B3" s="6"/>
      <c r="C3" s="26"/>
      <c r="D3" s="26"/>
      <c r="E3" s="26"/>
      <c r="F3" s="26"/>
      <c r="G3" s="26"/>
      <c r="H3" s="26"/>
      <c r="I3" s="26"/>
      <c r="J3" s="26"/>
      <c r="K3" s="26"/>
      <c r="L3" s="26"/>
      <c r="M3" s="26"/>
      <c r="N3" s="26"/>
      <c r="O3" s="26"/>
      <c r="P3" s="26"/>
      <c r="Q3" s="26"/>
      <c r="R3" s="6"/>
      <c r="S3" s="6"/>
      <c r="T3" s="6"/>
      <c r="U3" s="6"/>
    </row>
    <row r="4" spans="1:21" x14ac:dyDescent="0.25">
      <c r="B4" s="24"/>
      <c r="D4" s="26"/>
      <c r="E4" s="26"/>
      <c r="F4" s="26"/>
      <c r="G4" s="26"/>
      <c r="H4" s="26"/>
      <c r="I4" s="26"/>
      <c r="J4" s="26"/>
      <c r="K4" s="26"/>
      <c r="L4" s="26"/>
      <c r="M4" s="26"/>
      <c r="N4" s="26"/>
      <c r="O4" s="26"/>
      <c r="P4" s="26"/>
      <c r="Q4" s="26"/>
      <c r="R4" s="6"/>
      <c r="S4" s="6"/>
      <c r="T4" s="6"/>
      <c r="U4" s="6"/>
    </row>
    <row r="5" spans="1:21" x14ac:dyDescent="0.25">
      <c r="B5" s="24"/>
      <c r="D5" s="26"/>
      <c r="E5" s="26"/>
      <c r="F5" s="26"/>
      <c r="G5" s="26"/>
      <c r="H5" s="26"/>
      <c r="I5" s="26"/>
      <c r="J5" s="26"/>
      <c r="K5" s="26"/>
      <c r="L5" s="26"/>
      <c r="M5" s="26"/>
      <c r="N5" s="26"/>
      <c r="O5" s="26"/>
      <c r="P5" s="26"/>
      <c r="Q5" s="26"/>
      <c r="R5" s="6"/>
      <c r="S5" s="6"/>
      <c r="T5" s="6"/>
      <c r="U5" s="6"/>
    </row>
    <row r="6" spans="1:21" ht="15.75" thickBot="1" x14ac:dyDescent="0.3">
      <c r="A6" s="122" t="s">
        <v>42</v>
      </c>
      <c r="B6" s="24"/>
      <c r="D6" s="26"/>
      <c r="E6" s="26"/>
      <c r="F6" s="26"/>
      <c r="G6" s="26"/>
      <c r="H6" s="26"/>
      <c r="I6" s="26"/>
      <c r="J6" s="26"/>
      <c r="K6" s="26"/>
      <c r="L6" s="26"/>
      <c r="M6" s="26"/>
      <c r="N6" s="26"/>
      <c r="O6" s="26"/>
      <c r="P6" s="26"/>
      <c r="Q6" s="26"/>
      <c r="R6" s="6"/>
      <c r="S6" s="6"/>
      <c r="T6" s="6"/>
      <c r="U6" s="6"/>
    </row>
    <row r="7" spans="1:21" ht="16.5" thickBot="1" x14ac:dyDescent="0.3">
      <c r="A7" s="13" t="s">
        <v>43</v>
      </c>
      <c r="B7" s="17" t="s">
        <v>3</v>
      </c>
      <c r="C7" s="17">
        <v>2018</v>
      </c>
      <c r="D7" s="17" t="s">
        <v>44</v>
      </c>
      <c r="E7" s="26"/>
      <c r="F7" s="26"/>
      <c r="G7" s="26"/>
      <c r="H7" s="26"/>
      <c r="I7" s="26"/>
      <c r="J7" s="26"/>
      <c r="K7" s="26"/>
      <c r="L7" s="26"/>
      <c r="M7" s="26"/>
      <c r="N7" s="26"/>
      <c r="O7" s="26"/>
      <c r="P7" s="26"/>
      <c r="Q7" s="26"/>
      <c r="R7" s="6"/>
      <c r="S7" s="6"/>
      <c r="T7" s="6"/>
      <c r="U7" s="6"/>
    </row>
    <row r="8" spans="1:21" ht="51" x14ac:dyDescent="0.25">
      <c r="A8" s="115" t="s">
        <v>45</v>
      </c>
      <c r="B8" s="107" t="s">
        <v>46</v>
      </c>
      <c r="C8" s="53">
        <v>447264.94</v>
      </c>
      <c r="D8" s="82">
        <v>505727.84249999985</v>
      </c>
      <c r="E8" s="26"/>
      <c r="F8" s="26"/>
      <c r="G8" s="26"/>
      <c r="H8" s="26"/>
      <c r="I8" s="26"/>
      <c r="J8" s="26"/>
      <c r="K8" s="26"/>
      <c r="L8" s="26"/>
      <c r="M8" s="26"/>
      <c r="N8" s="26"/>
      <c r="O8" s="26"/>
      <c r="P8" s="26"/>
      <c r="Q8" s="26"/>
      <c r="R8" s="6"/>
      <c r="S8" s="6"/>
      <c r="T8" s="6"/>
      <c r="U8" s="6"/>
    </row>
    <row r="9" spans="1:21" ht="38.25" x14ac:dyDescent="0.25">
      <c r="A9" s="115" t="s">
        <v>47</v>
      </c>
      <c r="B9" s="105" t="s">
        <v>48</v>
      </c>
      <c r="C9" s="56">
        <v>47468.69</v>
      </c>
      <c r="D9" s="83">
        <v>62651.269</v>
      </c>
      <c r="E9" s="26"/>
      <c r="F9" s="26"/>
      <c r="G9" s="26"/>
      <c r="H9" s="26"/>
      <c r="I9" s="26"/>
      <c r="J9" s="26"/>
      <c r="K9" s="26"/>
      <c r="L9" s="26"/>
      <c r="M9" s="26"/>
      <c r="N9" s="26"/>
      <c r="O9" s="26"/>
      <c r="P9" s="26"/>
      <c r="Q9" s="26"/>
      <c r="R9" s="6"/>
      <c r="S9" s="6"/>
      <c r="T9" s="6"/>
      <c r="U9" s="6"/>
    </row>
    <row r="10" spans="1:21" ht="38.25" x14ac:dyDescent="0.25">
      <c r="A10" s="115" t="s">
        <v>49</v>
      </c>
      <c r="B10" s="105" t="s">
        <v>50</v>
      </c>
      <c r="C10" s="56">
        <v>68595.7</v>
      </c>
      <c r="D10" s="84">
        <v>74420.759999999995</v>
      </c>
      <c r="E10" s="26"/>
      <c r="F10" s="26"/>
      <c r="G10" s="26"/>
      <c r="H10" s="26"/>
      <c r="I10" s="26"/>
      <c r="J10" s="26"/>
      <c r="K10" s="26"/>
      <c r="L10" s="26"/>
      <c r="M10" s="26"/>
      <c r="N10" s="26"/>
      <c r="O10" s="26"/>
      <c r="P10" s="26"/>
      <c r="Q10" s="26"/>
      <c r="R10" s="6"/>
      <c r="S10" s="6"/>
      <c r="T10" s="6"/>
      <c r="U10" s="6"/>
    </row>
    <row r="11" spans="1:21" ht="25.5" x14ac:dyDescent="0.25">
      <c r="A11" s="115" t="s">
        <v>51</v>
      </c>
      <c r="B11" s="107" t="s">
        <v>52</v>
      </c>
      <c r="C11" s="56">
        <v>24375.119999999999</v>
      </c>
      <c r="D11" s="56">
        <v>30119.42</v>
      </c>
      <c r="E11" s="26"/>
      <c r="F11" s="26"/>
      <c r="G11" s="26"/>
      <c r="H11" s="26"/>
      <c r="I11" s="26"/>
      <c r="J11" s="26"/>
      <c r="K11" s="26"/>
      <c r="L11" s="26"/>
      <c r="M11" s="26"/>
      <c r="N11" s="26"/>
      <c r="O11" s="26"/>
      <c r="P11" s="26"/>
      <c r="Q11" s="26"/>
      <c r="R11" s="6"/>
      <c r="S11" s="6"/>
      <c r="T11" s="6"/>
      <c r="U11" s="6"/>
    </row>
    <row r="12" spans="1:21" ht="25.5" x14ac:dyDescent="0.25">
      <c r="A12" s="115" t="s">
        <v>53</v>
      </c>
      <c r="B12" s="105" t="s">
        <v>54</v>
      </c>
      <c r="C12" s="56">
        <v>0</v>
      </c>
      <c r="D12" s="56">
        <v>1498.24</v>
      </c>
      <c r="E12" s="26"/>
      <c r="F12" s="26"/>
      <c r="G12" s="26"/>
      <c r="H12" s="26"/>
      <c r="I12" s="26"/>
      <c r="J12" s="26"/>
      <c r="K12" s="26"/>
      <c r="L12" s="26"/>
      <c r="M12" s="26"/>
      <c r="N12" s="26"/>
      <c r="O12" s="26"/>
      <c r="P12" s="26"/>
      <c r="Q12" s="26"/>
      <c r="R12" s="6"/>
      <c r="S12" s="6"/>
      <c r="T12" s="6"/>
      <c r="U12" s="6"/>
    </row>
    <row r="13" spans="1:21" ht="25.5" x14ac:dyDescent="0.25">
      <c r="A13" s="115" t="s">
        <v>55</v>
      </c>
      <c r="B13" s="105" t="s">
        <v>56</v>
      </c>
      <c r="C13" s="56">
        <v>0</v>
      </c>
      <c r="D13" s="56">
        <v>289.22000000000003</v>
      </c>
      <c r="E13" s="26"/>
      <c r="F13" s="26"/>
      <c r="G13" s="26"/>
      <c r="H13" s="26"/>
      <c r="I13" s="26"/>
      <c r="J13" s="26"/>
      <c r="K13" s="26"/>
      <c r="L13" s="26"/>
      <c r="M13" s="26"/>
      <c r="N13" s="26"/>
      <c r="O13" s="26"/>
      <c r="P13" s="26"/>
      <c r="Q13" s="26"/>
      <c r="R13" s="6"/>
      <c r="S13" s="6"/>
      <c r="T13" s="6"/>
      <c r="U13" s="6"/>
    </row>
    <row r="14" spans="1:21" ht="25.5" x14ac:dyDescent="0.25">
      <c r="A14" s="115" t="s">
        <v>57</v>
      </c>
      <c r="B14" s="107" t="s">
        <v>58</v>
      </c>
      <c r="C14" s="56">
        <v>5442.16</v>
      </c>
      <c r="D14" s="56">
        <v>12825.985000000001</v>
      </c>
      <c r="E14" s="26"/>
      <c r="F14" s="26"/>
      <c r="G14" s="26"/>
      <c r="H14" s="26"/>
      <c r="I14" s="26"/>
      <c r="J14" s="26"/>
      <c r="K14" s="26"/>
      <c r="L14" s="26"/>
      <c r="M14" s="26"/>
      <c r="N14" s="26"/>
      <c r="O14" s="26"/>
      <c r="P14" s="26"/>
      <c r="Q14" s="26"/>
      <c r="R14" s="6"/>
      <c r="S14" s="6"/>
      <c r="T14" s="6"/>
      <c r="U14" s="6"/>
    </row>
    <row r="15" spans="1:21" ht="15.75" thickBot="1" x14ac:dyDescent="0.3">
      <c r="A15" s="115" t="s">
        <v>59</v>
      </c>
      <c r="B15" s="105" t="s">
        <v>60</v>
      </c>
      <c r="C15" s="56">
        <f>108361.05+1194837.48</f>
        <v>1303198.53</v>
      </c>
      <c r="D15" s="56">
        <v>99151.985000000001</v>
      </c>
      <c r="E15" s="26"/>
      <c r="F15" s="26"/>
      <c r="G15" s="26"/>
      <c r="H15" s="26"/>
      <c r="I15" s="26"/>
      <c r="J15" s="26"/>
      <c r="K15" s="26"/>
      <c r="L15" s="26"/>
      <c r="M15" s="26"/>
      <c r="N15" s="26"/>
      <c r="O15" s="26"/>
      <c r="P15" s="26"/>
      <c r="Q15" s="26"/>
      <c r="R15" s="6"/>
      <c r="S15" s="6"/>
      <c r="T15" s="6"/>
      <c r="U15" s="6"/>
    </row>
    <row r="16" spans="1:21" ht="16.5" thickBot="1" x14ac:dyDescent="0.3">
      <c r="A16" s="15" t="s">
        <v>61</v>
      </c>
      <c r="B16" s="15"/>
      <c r="C16" s="16">
        <f t="shared" ref="C16:D16" si="0">SUM(C8:C15)</f>
        <v>1896345.1400000001</v>
      </c>
      <c r="D16" s="85">
        <f t="shared" si="0"/>
        <v>786684.72149999987</v>
      </c>
      <c r="E16" s="26"/>
      <c r="F16" s="26"/>
      <c r="G16" s="26"/>
      <c r="H16" s="26"/>
      <c r="I16" s="26"/>
      <c r="J16" s="26"/>
      <c r="K16" s="26"/>
      <c r="L16" s="26"/>
      <c r="M16" s="26"/>
      <c r="N16" s="26"/>
      <c r="O16" s="26"/>
      <c r="P16" s="26"/>
      <c r="Q16" s="26"/>
      <c r="R16" s="6"/>
      <c r="S16" s="6"/>
      <c r="T16" s="6"/>
      <c r="U16" s="6"/>
    </row>
    <row r="17" spans="1:21" x14ac:dyDescent="0.25">
      <c r="B17" s="24"/>
      <c r="D17" s="26"/>
      <c r="E17" s="26"/>
      <c r="F17" s="26"/>
      <c r="G17" s="26"/>
      <c r="H17" s="26"/>
      <c r="I17" s="26"/>
      <c r="J17" s="26"/>
      <c r="K17" s="26"/>
      <c r="L17" s="26"/>
      <c r="M17" s="26"/>
      <c r="N17" s="26"/>
      <c r="O17" s="26"/>
      <c r="P17" s="26"/>
      <c r="Q17" s="26"/>
      <c r="R17" s="6"/>
      <c r="S17" s="6"/>
      <c r="T17" s="6"/>
      <c r="U17" s="6"/>
    </row>
    <row r="18" spans="1:21" x14ac:dyDescent="0.25">
      <c r="B18" s="24"/>
      <c r="D18" s="26"/>
      <c r="E18" s="26"/>
      <c r="F18" s="26"/>
      <c r="G18" s="26"/>
      <c r="H18" s="26"/>
      <c r="I18" s="26"/>
      <c r="J18" s="26"/>
      <c r="K18" s="26"/>
      <c r="L18" s="26"/>
      <c r="M18" s="26"/>
      <c r="N18" s="26"/>
      <c r="O18" s="26"/>
      <c r="P18" s="26"/>
      <c r="Q18" s="26"/>
      <c r="R18" s="6"/>
      <c r="S18" s="6"/>
      <c r="T18" s="6"/>
      <c r="U18" s="6"/>
    </row>
    <row r="19" spans="1:21" ht="27" thickBot="1" x14ac:dyDescent="0.3">
      <c r="A19" s="122" t="s">
        <v>349</v>
      </c>
      <c r="B19" s="24"/>
      <c r="C19" s="26"/>
      <c r="D19" s="26"/>
      <c r="E19" s="26"/>
      <c r="F19" s="26"/>
      <c r="G19" s="26"/>
      <c r="H19" s="26"/>
      <c r="I19" s="26"/>
      <c r="J19" s="26"/>
      <c r="K19" s="26"/>
      <c r="L19" s="26"/>
      <c r="M19" s="26"/>
      <c r="N19" s="26"/>
      <c r="O19" s="26"/>
      <c r="P19" s="26"/>
      <c r="Q19" s="26"/>
      <c r="R19" s="6"/>
      <c r="S19" s="6"/>
      <c r="T19" s="6"/>
      <c r="U19" s="6"/>
    </row>
    <row r="20" spans="1:21" s="3" customFormat="1" ht="16.5" thickBot="1" x14ac:dyDescent="0.3">
      <c r="A20" s="13" t="s">
        <v>62</v>
      </c>
      <c r="B20" s="17" t="s">
        <v>3</v>
      </c>
      <c r="C20" s="17" t="s">
        <v>63</v>
      </c>
      <c r="D20" s="17">
        <v>2020</v>
      </c>
      <c r="E20" s="17">
        <v>2021</v>
      </c>
      <c r="F20" s="17">
        <v>2022</v>
      </c>
      <c r="G20" s="17">
        <v>2023</v>
      </c>
      <c r="H20" s="17">
        <v>2024</v>
      </c>
      <c r="I20" s="17">
        <v>2025</v>
      </c>
      <c r="J20" s="17">
        <v>2026</v>
      </c>
      <c r="K20" s="17">
        <v>2027</v>
      </c>
      <c r="L20" s="17">
        <v>2028</v>
      </c>
      <c r="M20" s="17">
        <v>2029</v>
      </c>
      <c r="N20" s="17">
        <v>2030</v>
      </c>
      <c r="O20" s="17">
        <v>2031</v>
      </c>
      <c r="P20" s="17">
        <v>2032</v>
      </c>
      <c r="Q20" s="18" t="s">
        <v>28</v>
      </c>
      <c r="R20" s="14" t="s">
        <v>64</v>
      </c>
    </row>
    <row r="21" spans="1:21" ht="28.5" customHeight="1" x14ac:dyDescent="0.25">
      <c r="A21" s="98" t="s">
        <v>65</v>
      </c>
      <c r="B21" s="140" t="s">
        <v>66</v>
      </c>
      <c r="C21" s="82">
        <v>81472.593073000011</v>
      </c>
      <c r="D21" s="90">
        <v>163382.42800000001</v>
      </c>
      <c r="E21" s="90">
        <v>169513.96423997192</v>
      </c>
      <c r="F21" s="90">
        <v>151242.02544799997</v>
      </c>
      <c r="G21" s="90">
        <v>149282.70250000001</v>
      </c>
      <c r="H21" s="90">
        <v>149231.28300000002</v>
      </c>
      <c r="I21" s="90">
        <v>67267.599999999991</v>
      </c>
      <c r="J21" s="55"/>
      <c r="K21" s="55"/>
      <c r="L21" s="55"/>
      <c r="M21" s="55"/>
      <c r="N21" s="55"/>
      <c r="O21" s="55"/>
      <c r="P21" s="55"/>
      <c r="Q21" s="11">
        <f>SUM(C21:P21)</f>
        <v>931392.59626097197</v>
      </c>
      <c r="R21" s="51"/>
    </row>
    <row r="22" spans="1:21" ht="25.5" x14ac:dyDescent="0.25">
      <c r="A22" s="98" t="s">
        <v>67</v>
      </c>
      <c r="B22" s="107" t="s">
        <v>68</v>
      </c>
      <c r="C22" s="82">
        <v>659848.64277300017</v>
      </c>
      <c r="D22" s="90">
        <v>1003703.5407000015</v>
      </c>
      <c r="E22" s="90">
        <v>982892.76619999972</v>
      </c>
      <c r="F22" s="90">
        <v>950411.29682624945</v>
      </c>
      <c r="G22" s="90">
        <v>959181.86499999999</v>
      </c>
      <c r="H22" s="90">
        <v>846133.84699999914</v>
      </c>
      <c r="I22" s="90">
        <v>422043.18999999994</v>
      </c>
      <c r="J22" s="55"/>
      <c r="K22" s="55"/>
      <c r="L22" s="55"/>
      <c r="M22" s="55"/>
      <c r="N22" s="55"/>
      <c r="O22" s="55"/>
      <c r="P22" s="55"/>
      <c r="Q22" s="11">
        <f t="shared" ref="Q22:Q33" si="1">SUM(C22:P22)</f>
        <v>5824215.1484992504</v>
      </c>
      <c r="R22" s="51"/>
    </row>
    <row r="23" spans="1:21" ht="38.25" x14ac:dyDescent="0.25">
      <c r="A23" s="99" t="s">
        <v>47</v>
      </c>
      <c r="B23" s="105" t="s">
        <v>69</v>
      </c>
      <c r="C23" s="83">
        <v>275476.58039999998</v>
      </c>
      <c r="D23" s="90">
        <v>348008.77249999996</v>
      </c>
      <c r="E23" s="90">
        <v>377373.58509999991</v>
      </c>
      <c r="F23" s="90">
        <v>411394.29749999987</v>
      </c>
      <c r="G23" s="90">
        <v>407253.61</v>
      </c>
      <c r="H23" s="90">
        <v>353284.4149999998</v>
      </c>
      <c r="I23" s="90">
        <v>146436.7399999999</v>
      </c>
      <c r="J23" s="58"/>
      <c r="K23" s="59"/>
      <c r="L23" s="54"/>
      <c r="M23" s="54"/>
      <c r="N23" s="54"/>
      <c r="O23" s="54"/>
      <c r="P23" s="54"/>
      <c r="Q23" s="11">
        <f t="shared" si="1"/>
        <v>2319228.0004999996</v>
      </c>
      <c r="R23" s="51"/>
      <c r="S23" s="27"/>
    </row>
    <row r="24" spans="1:21" ht="25.5" x14ac:dyDescent="0.25">
      <c r="A24" s="99" t="s">
        <v>49</v>
      </c>
      <c r="B24" s="105" t="s">
        <v>70</v>
      </c>
      <c r="C24" s="84">
        <v>393611.09</v>
      </c>
      <c r="D24" s="90">
        <v>490504.99520000006</v>
      </c>
      <c r="E24" s="90">
        <v>324044.43</v>
      </c>
      <c r="F24" s="90">
        <v>289306.90749999997</v>
      </c>
      <c r="G24" s="90">
        <v>353247.46999999986</v>
      </c>
      <c r="H24" s="90">
        <v>329321.86750000005</v>
      </c>
      <c r="I24" s="90">
        <v>206601.21</v>
      </c>
      <c r="J24" s="58"/>
      <c r="K24" s="60"/>
      <c r="L24" s="58"/>
      <c r="M24" s="58"/>
      <c r="N24" s="58"/>
      <c r="O24" s="58"/>
      <c r="P24" s="58"/>
      <c r="Q24" s="11">
        <f t="shared" si="1"/>
        <v>2386637.9701999999</v>
      </c>
      <c r="R24" s="51"/>
      <c r="S24" s="27"/>
    </row>
    <row r="25" spans="1:21" ht="51" x14ac:dyDescent="0.25">
      <c r="A25" s="99" t="s">
        <v>51</v>
      </c>
      <c r="B25" s="105" t="s">
        <v>71</v>
      </c>
      <c r="C25" s="56">
        <v>261742.16788200004</v>
      </c>
      <c r="D25" s="90">
        <v>560939.73100000015</v>
      </c>
      <c r="E25" s="90">
        <v>554579.30149475206</v>
      </c>
      <c r="F25" s="90">
        <v>534842.03474349994</v>
      </c>
      <c r="G25" s="90">
        <v>485586.16499999998</v>
      </c>
      <c r="H25" s="90">
        <v>415989.06289999996</v>
      </c>
      <c r="I25" s="90">
        <v>206354.53</v>
      </c>
      <c r="J25" s="59"/>
      <c r="K25" s="58"/>
      <c r="L25" s="58"/>
      <c r="M25" s="58"/>
      <c r="N25" s="58"/>
      <c r="O25" s="58"/>
      <c r="P25" s="58"/>
      <c r="Q25" s="11">
        <f t="shared" si="1"/>
        <v>3020032.9930202519</v>
      </c>
      <c r="R25" s="51"/>
      <c r="S25" s="27"/>
    </row>
    <row r="26" spans="1:21" ht="25.5" x14ac:dyDescent="0.25">
      <c r="A26" s="99" t="s">
        <v>53</v>
      </c>
      <c r="B26" s="105" t="s">
        <v>72</v>
      </c>
      <c r="C26" s="86">
        <v>290063.04710000008</v>
      </c>
      <c r="D26" s="90">
        <v>595826.50000000093</v>
      </c>
      <c r="E26" s="90">
        <v>697744.84844794928</v>
      </c>
      <c r="F26" s="90">
        <v>640231.0139739993</v>
      </c>
      <c r="G26" s="90">
        <v>646672.94000000122</v>
      </c>
      <c r="H26" s="90">
        <v>684345.1599999998</v>
      </c>
      <c r="I26" s="90">
        <v>327721.2300000001</v>
      </c>
      <c r="J26" s="54"/>
      <c r="K26" s="58"/>
      <c r="L26" s="58"/>
      <c r="M26" s="58"/>
      <c r="N26" s="58"/>
      <c r="O26" s="58"/>
      <c r="P26" s="58"/>
      <c r="Q26" s="11">
        <f t="shared" si="1"/>
        <v>3882604.7395219505</v>
      </c>
      <c r="R26" s="51"/>
      <c r="S26" s="27"/>
    </row>
    <row r="27" spans="1:21" ht="25.5" x14ac:dyDescent="0.25">
      <c r="A27" s="99" t="s">
        <v>73</v>
      </c>
      <c r="B27" s="105" t="s">
        <v>74</v>
      </c>
      <c r="C27" s="86">
        <v>58518.409691000008</v>
      </c>
      <c r="D27" s="90">
        <v>3994.92</v>
      </c>
      <c r="E27" s="90">
        <v>97855.409999999989</v>
      </c>
      <c r="F27" s="90">
        <v>172966.29749999999</v>
      </c>
      <c r="G27" s="90">
        <v>117680.99999999999</v>
      </c>
      <c r="H27" s="90">
        <v>252802.8475</v>
      </c>
      <c r="I27" s="90">
        <v>103054.60999999999</v>
      </c>
      <c r="J27" s="54"/>
      <c r="K27" s="58"/>
      <c r="L27" s="58"/>
      <c r="M27" s="58"/>
      <c r="N27" s="58"/>
      <c r="O27" s="58"/>
      <c r="P27" s="58"/>
      <c r="Q27" s="11">
        <f t="shared" si="1"/>
        <v>806873.49469099997</v>
      </c>
      <c r="R27" s="51"/>
      <c r="S27" s="27"/>
    </row>
    <row r="28" spans="1:21" ht="38.25" x14ac:dyDescent="0.25">
      <c r="A28" s="100" t="s">
        <v>57</v>
      </c>
      <c r="B28" s="99" t="s">
        <v>75</v>
      </c>
      <c r="C28" s="86">
        <v>99845.393000000011</v>
      </c>
      <c r="D28" s="90">
        <v>96631.86500000002</v>
      </c>
      <c r="E28" s="90">
        <v>90744.322500000009</v>
      </c>
      <c r="F28" s="90">
        <v>99461.099999999991</v>
      </c>
      <c r="G28" s="90">
        <v>115230.76999999999</v>
      </c>
      <c r="H28" s="90">
        <v>79677.329999999987</v>
      </c>
      <c r="I28" s="90">
        <v>38423.479999999996</v>
      </c>
      <c r="J28" s="54"/>
      <c r="K28" s="58"/>
      <c r="L28" s="58"/>
      <c r="M28" s="58"/>
      <c r="N28" s="58"/>
      <c r="O28" s="58"/>
      <c r="P28" s="58"/>
      <c r="Q28" s="11">
        <f t="shared" si="1"/>
        <v>620014.26049999997</v>
      </c>
      <c r="R28" s="51"/>
      <c r="S28" s="27"/>
    </row>
    <row r="29" spans="1:21" ht="51" x14ac:dyDescent="0.25">
      <c r="A29" s="99" t="s">
        <v>76</v>
      </c>
      <c r="B29" s="99" t="s">
        <v>77</v>
      </c>
      <c r="C29" s="86">
        <v>104080.85620000001</v>
      </c>
      <c r="D29" s="90">
        <v>276131.39249999996</v>
      </c>
      <c r="E29" s="90">
        <v>179258.92902500002</v>
      </c>
      <c r="F29" s="90">
        <v>209993.069487</v>
      </c>
      <c r="G29" s="90">
        <v>156323.03799999997</v>
      </c>
      <c r="H29" s="90">
        <v>119059.53499999999</v>
      </c>
      <c r="I29" s="90">
        <v>154184.04999999999</v>
      </c>
      <c r="J29" s="54"/>
      <c r="K29" s="58"/>
      <c r="L29" s="58"/>
      <c r="M29" s="58"/>
      <c r="N29" s="58"/>
      <c r="O29" s="58"/>
      <c r="P29" s="58"/>
      <c r="Q29" s="11">
        <f t="shared" si="1"/>
        <v>1199030.8702120001</v>
      </c>
      <c r="R29" s="51"/>
      <c r="S29" s="27"/>
    </row>
    <row r="30" spans="1:21" ht="51" x14ac:dyDescent="0.25">
      <c r="A30" s="99" t="s">
        <v>78</v>
      </c>
      <c r="B30" s="99" t="s">
        <v>79</v>
      </c>
      <c r="C30" s="56">
        <v>230711.55379999999</v>
      </c>
      <c r="D30" s="90">
        <v>133861.43</v>
      </c>
      <c r="E30" s="90">
        <v>78244.079999999987</v>
      </c>
      <c r="F30" s="90">
        <v>99932.83</v>
      </c>
      <c r="G30" s="90">
        <v>94234.584999999992</v>
      </c>
      <c r="H30" s="90">
        <v>65675.107499999998</v>
      </c>
      <c r="I30" s="90">
        <v>45534.68</v>
      </c>
      <c r="J30" s="59"/>
      <c r="K30" s="60"/>
      <c r="L30" s="60"/>
      <c r="M30" s="60"/>
      <c r="N30" s="60"/>
      <c r="O30" s="58"/>
      <c r="P30" s="58"/>
      <c r="Q30" s="11">
        <f t="shared" si="1"/>
        <v>748194.26630000002</v>
      </c>
      <c r="R30" s="51"/>
      <c r="S30" s="27"/>
    </row>
    <row r="31" spans="1:21" ht="25.5" x14ac:dyDescent="0.25">
      <c r="A31" s="99" t="s">
        <v>80</v>
      </c>
      <c r="B31" s="99" t="s">
        <v>81</v>
      </c>
      <c r="C31" s="56">
        <v>53376.849600000001</v>
      </c>
      <c r="D31" s="90">
        <v>135339.39250000002</v>
      </c>
      <c r="E31" s="90">
        <v>73052.781300000002</v>
      </c>
      <c r="F31" s="90">
        <v>50482.047947999999</v>
      </c>
      <c r="G31" s="90">
        <v>41135.85</v>
      </c>
      <c r="H31" s="90">
        <v>67491.904999999999</v>
      </c>
      <c r="I31" s="90">
        <v>19166.949999999997</v>
      </c>
      <c r="J31" s="59"/>
      <c r="K31" s="60"/>
      <c r="L31" s="60"/>
      <c r="M31" s="60"/>
      <c r="N31" s="60"/>
      <c r="O31" s="58"/>
      <c r="P31" s="58"/>
      <c r="Q31" s="11">
        <f t="shared" si="1"/>
        <v>440045.77634799998</v>
      </c>
      <c r="R31" s="51"/>
      <c r="S31" s="27"/>
    </row>
    <row r="32" spans="1:21" x14ac:dyDescent="0.25">
      <c r="A32" s="99" t="s">
        <v>82</v>
      </c>
      <c r="B32" s="99" t="s">
        <v>83</v>
      </c>
      <c r="C32" s="56">
        <v>59624.81720000002</v>
      </c>
      <c r="D32" s="90">
        <v>117365.76999999999</v>
      </c>
      <c r="E32" s="90">
        <v>146514.36999999994</v>
      </c>
      <c r="F32" s="90">
        <v>82695.23000000001</v>
      </c>
      <c r="G32" s="90">
        <v>72082.81</v>
      </c>
      <c r="H32" s="90">
        <v>72800.397500000006</v>
      </c>
      <c r="I32" s="90">
        <v>33809.600000000006</v>
      </c>
      <c r="J32" s="59"/>
      <c r="K32" s="60"/>
      <c r="L32" s="60"/>
      <c r="M32" s="60"/>
      <c r="N32" s="60"/>
      <c r="O32" s="58"/>
      <c r="P32" s="58"/>
      <c r="Q32" s="11">
        <f t="shared" si="1"/>
        <v>584892.99469999992</v>
      </c>
      <c r="R32" s="51"/>
      <c r="S32" s="27"/>
    </row>
    <row r="33" spans="1:19" ht="39" thickBot="1" x14ac:dyDescent="0.3">
      <c r="A33" s="132" t="s">
        <v>84</v>
      </c>
      <c r="B33" s="104" t="s">
        <v>85</v>
      </c>
      <c r="C33" s="87">
        <v>6179.2300000000005</v>
      </c>
      <c r="D33" s="90">
        <v>81798.545000000027</v>
      </c>
      <c r="E33" s="90">
        <v>47715.372499999998</v>
      </c>
      <c r="F33" s="90">
        <v>15111.989999999998</v>
      </c>
      <c r="G33" s="90">
        <v>11419.82</v>
      </c>
      <c r="H33" s="90">
        <v>0</v>
      </c>
      <c r="I33" s="90">
        <v>0</v>
      </c>
      <c r="J33" s="62"/>
      <c r="K33" s="61"/>
      <c r="L33" s="61"/>
      <c r="M33" s="61"/>
      <c r="N33" s="61"/>
      <c r="O33" s="61"/>
      <c r="P33" s="61"/>
      <c r="Q33" s="11">
        <f t="shared" si="1"/>
        <v>162224.95750000002</v>
      </c>
      <c r="R33" s="131"/>
      <c r="S33" s="27"/>
    </row>
    <row r="34" spans="1:19" s="3" customFormat="1" ht="16.5" thickBot="1" x14ac:dyDescent="0.3">
      <c r="A34" s="136" t="s">
        <v>86</v>
      </c>
      <c r="B34" s="137"/>
      <c r="C34" s="85">
        <f>SUM(C21:C33)</f>
        <v>2574551.2307190001</v>
      </c>
      <c r="D34" s="148">
        <f t="shared" ref="D34:P34" si="2">SUM(D21:D33)</f>
        <v>4007489.2824000027</v>
      </c>
      <c r="E34" s="85">
        <f t="shared" si="2"/>
        <v>3819534.1608076734</v>
      </c>
      <c r="F34" s="85">
        <f t="shared" si="2"/>
        <v>3708070.1409267485</v>
      </c>
      <c r="G34" s="85">
        <f t="shared" si="2"/>
        <v>3609332.625500001</v>
      </c>
      <c r="H34" s="85">
        <f t="shared" si="2"/>
        <v>3435812.7578999992</v>
      </c>
      <c r="I34" s="85">
        <f t="shared" si="2"/>
        <v>1770597.8699999999</v>
      </c>
      <c r="J34" s="85">
        <f t="shared" si="2"/>
        <v>0</v>
      </c>
      <c r="K34" s="85">
        <f t="shared" si="2"/>
        <v>0</v>
      </c>
      <c r="L34" s="85">
        <f t="shared" si="2"/>
        <v>0</v>
      </c>
      <c r="M34" s="85">
        <f t="shared" si="2"/>
        <v>0</v>
      </c>
      <c r="N34" s="85">
        <f t="shared" si="2"/>
        <v>0</v>
      </c>
      <c r="O34" s="85">
        <f t="shared" si="2"/>
        <v>0</v>
      </c>
      <c r="P34" s="85">
        <f t="shared" si="2"/>
        <v>0</v>
      </c>
      <c r="Q34" s="78">
        <f>SUM(C34:P34)+(C16+D16)</f>
        <v>25608417.929753423</v>
      </c>
      <c r="R34" s="138" t="s">
        <v>87</v>
      </c>
    </row>
    <row r="36" spans="1:19" ht="90" x14ac:dyDescent="0.25">
      <c r="A36" s="121" t="s">
        <v>88</v>
      </c>
      <c r="C36" s="12"/>
      <c r="D36" s="25"/>
      <c r="E36" s="25"/>
      <c r="F36" s="25"/>
      <c r="G36" s="25"/>
      <c r="H36" s="25"/>
      <c r="I36" s="25"/>
      <c r="J36" s="25"/>
      <c r="K36" s="25"/>
      <c r="L36" s="25"/>
      <c r="M36" s="25"/>
      <c r="N36" s="25"/>
      <c r="O36" s="25"/>
      <c r="P36" s="25"/>
      <c r="Q36" s="134"/>
    </row>
    <row r="37" spans="1:19" x14ac:dyDescent="0.25">
      <c r="A37" s="121"/>
      <c r="C37"/>
      <c r="D37"/>
      <c r="E37"/>
      <c r="F37"/>
      <c r="G37"/>
      <c r="H37"/>
      <c r="I37"/>
      <c r="J37"/>
      <c r="K37"/>
      <c r="L37"/>
      <c r="M37"/>
      <c r="N37"/>
      <c r="O37"/>
      <c r="P37"/>
      <c r="Q37"/>
    </row>
    <row r="38" spans="1:19" x14ac:dyDescent="0.25">
      <c r="C38"/>
      <c r="D38"/>
      <c r="E38"/>
      <c r="F38"/>
      <c r="G38"/>
      <c r="H38"/>
      <c r="I38"/>
      <c r="J38"/>
      <c r="K38"/>
      <c r="L38"/>
      <c r="M38"/>
      <c r="N38"/>
      <c r="O38"/>
      <c r="P38"/>
      <c r="Q38"/>
    </row>
    <row r="39" spans="1:19" x14ac:dyDescent="0.25">
      <c r="C39"/>
      <c r="D39"/>
      <c r="E39"/>
      <c r="F39"/>
      <c r="G39"/>
      <c r="H39"/>
      <c r="I39"/>
      <c r="J39"/>
      <c r="K39"/>
      <c r="L39"/>
      <c r="M39"/>
      <c r="N39"/>
      <c r="O39"/>
      <c r="P39"/>
      <c r="Q39"/>
    </row>
    <row r="40" spans="1:19" x14ac:dyDescent="0.25">
      <c r="C40"/>
      <c r="D40"/>
      <c r="E40"/>
      <c r="F40"/>
      <c r="G40"/>
      <c r="H40"/>
      <c r="I40"/>
      <c r="J40"/>
      <c r="K40"/>
      <c r="L40"/>
      <c r="M40"/>
      <c r="N40"/>
      <c r="O40"/>
      <c r="P40"/>
      <c r="Q40"/>
    </row>
    <row r="41" spans="1:19" x14ac:dyDescent="0.25">
      <c r="C41"/>
      <c r="D41"/>
      <c r="E41"/>
      <c r="F41"/>
      <c r="G41"/>
      <c r="H41"/>
      <c r="I41"/>
      <c r="J41"/>
      <c r="K41"/>
      <c r="L41"/>
      <c r="M41"/>
      <c r="N41"/>
      <c r="O41"/>
      <c r="P41"/>
      <c r="Q41"/>
    </row>
    <row r="42" spans="1:19" x14ac:dyDescent="0.25">
      <c r="C42"/>
      <c r="D42"/>
      <c r="E42"/>
      <c r="F42"/>
      <c r="G42"/>
      <c r="H42"/>
      <c r="I42"/>
      <c r="J42"/>
      <c r="K42"/>
      <c r="L42"/>
      <c r="M42"/>
      <c r="N42"/>
      <c r="O42"/>
      <c r="P42"/>
      <c r="Q42"/>
    </row>
    <row r="43" spans="1:19" x14ac:dyDescent="0.25">
      <c r="C43"/>
      <c r="D43"/>
      <c r="E43"/>
      <c r="F43"/>
      <c r="G43"/>
      <c r="H43"/>
      <c r="I43"/>
      <c r="J43"/>
      <c r="K43"/>
      <c r="L43"/>
      <c r="M43"/>
      <c r="N43"/>
      <c r="O43"/>
      <c r="P43"/>
      <c r="Q43"/>
    </row>
    <row r="44" spans="1:19" x14ac:dyDescent="0.25">
      <c r="C44"/>
      <c r="D44"/>
      <c r="E44"/>
      <c r="F44"/>
      <c r="G44"/>
      <c r="H44"/>
      <c r="I44"/>
      <c r="J44"/>
      <c r="K44"/>
      <c r="L44"/>
      <c r="M44"/>
      <c r="N44"/>
      <c r="O44"/>
      <c r="P44"/>
      <c r="Q44"/>
    </row>
    <row r="45" spans="1:19" x14ac:dyDescent="0.25">
      <c r="C45"/>
      <c r="D45"/>
      <c r="E45"/>
      <c r="F45"/>
      <c r="G45"/>
      <c r="H45"/>
      <c r="I45"/>
      <c r="J45"/>
      <c r="K45"/>
      <c r="L45"/>
      <c r="M45"/>
      <c r="N45"/>
      <c r="O45"/>
      <c r="P45"/>
      <c r="Q45"/>
    </row>
    <row r="46" spans="1:19" x14ac:dyDescent="0.25">
      <c r="C46"/>
    </row>
    <row r="47" spans="1:19" x14ac:dyDescent="0.25">
      <c r="C47"/>
      <c r="D47"/>
      <c r="E47"/>
      <c r="F47"/>
      <c r="G47"/>
      <c r="H47"/>
      <c r="I47"/>
      <c r="J47"/>
      <c r="K47"/>
      <c r="L47"/>
      <c r="M47"/>
      <c r="N47"/>
      <c r="O47"/>
      <c r="P47"/>
      <c r="Q47"/>
    </row>
    <row r="48" spans="1:19" x14ac:dyDescent="0.25">
      <c r="C48"/>
      <c r="D48"/>
      <c r="E48"/>
      <c r="F48"/>
      <c r="G48"/>
      <c r="H48"/>
      <c r="I48"/>
      <c r="J48"/>
      <c r="K48"/>
      <c r="L48"/>
      <c r="M48"/>
      <c r="N48"/>
      <c r="O48"/>
      <c r="P48"/>
      <c r="Q48"/>
    </row>
    <row r="49" customFormat="1" x14ac:dyDescent="0.25"/>
    <row r="50" customFormat="1" x14ac:dyDescent="0.25"/>
    <row r="51" customFormat="1" x14ac:dyDescent="0.25"/>
    <row r="52" customFormat="1" x14ac:dyDescent="0.25"/>
    <row r="53" customFormat="1" x14ac:dyDescent="0.25"/>
    <row r="54" customFormat="1" x14ac:dyDescent="0.25"/>
  </sheetData>
  <sheetProtection algorithmName="SHA-512" hashValue="oGvGF674dUGFV5vwykfS0+fORcIX1MdWpSHrWgm2/6bt0XzdXS+VB8Zi/3pMrClJqsBFrLD+dwYWNwrYyXT3YA==" saltValue="bF99jCDW3TCDnO7FgISZj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V70"/>
  <sheetViews>
    <sheetView topLeftCell="A27" zoomScale="80" zoomScaleNormal="80" workbookViewId="0">
      <pane xSplit="1" topLeftCell="B1" activePane="topRight" state="frozen"/>
      <selection pane="topRight" activeCell="I38" sqref="I38"/>
    </sheetView>
  </sheetViews>
  <sheetFormatPr defaultColWidth="9.140625" defaultRowHeight="15" x14ac:dyDescent="0.25"/>
  <cols>
    <col min="1" max="1" width="59" customWidth="1"/>
    <col min="2" max="2" width="37.42578125" customWidth="1"/>
    <col min="3" max="17" width="18.85546875" style="9" customWidth="1"/>
    <col min="18" max="18" width="45.85546875" customWidth="1"/>
    <col min="19" max="19" width="11.140625" customWidth="1"/>
    <col min="20" max="20" width="11.5703125" customWidth="1"/>
    <col min="21" max="21" width="13.42578125" customWidth="1"/>
    <col min="22" max="22" width="11.42578125" bestFit="1" customWidth="1"/>
  </cols>
  <sheetData>
    <row r="1" spans="1:21" s="2" customFormat="1" ht="15.75" x14ac:dyDescent="0.25">
      <c r="A1" s="128" t="str">
        <f>'1. Expenditures'!A1</f>
        <v>SOMAH Program Administrator</v>
      </c>
      <c r="C1" s="25"/>
      <c r="D1" s="25"/>
      <c r="E1" s="25"/>
      <c r="F1" s="25"/>
      <c r="G1" s="25"/>
      <c r="H1" s="25"/>
      <c r="I1" s="25"/>
      <c r="J1" s="25"/>
      <c r="K1" s="25"/>
      <c r="L1" s="25"/>
      <c r="M1" s="25"/>
      <c r="N1" s="25"/>
      <c r="O1" s="25"/>
      <c r="P1" s="25"/>
      <c r="Q1" s="25"/>
    </row>
    <row r="2" spans="1:21" x14ac:dyDescent="0.25">
      <c r="A2" s="182" t="str">
        <f>'1. Expenditures'!A2</f>
        <v>Reporting Date: July 31, 2025</v>
      </c>
      <c r="B2" s="6"/>
      <c r="C2" s="26"/>
      <c r="D2" s="26"/>
      <c r="E2" s="26"/>
      <c r="F2" s="26"/>
      <c r="G2" s="26"/>
      <c r="H2" s="26"/>
      <c r="I2" s="26"/>
      <c r="J2" s="26"/>
      <c r="K2" s="26"/>
      <c r="L2" s="26"/>
      <c r="M2" s="26"/>
      <c r="N2" s="26"/>
      <c r="O2" s="26"/>
      <c r="P2" s="26"/>
      <c r="Q2" s="26"/>
      <c r="R2" s="6"/>
      <c r="S2" s="6"/>
      <c r="T2" s="6"/>
      <c r="U2" s="6"/>
    </row>
    <row r="3" spans="1:21" x14ac:dyDescent="0.25">
      <c r="A3" s="63" t="str">
        <f>'1. Expenditures'!A3</f>
        <v>Reporting Data Through: June 30, 2025</v>
      </c>
      <c r="B3" s="24"/>
      <c r="C3" s="26"/>
      <c r="D3" s="26"/>
      <c r="E3" s="26"/>
      <c r="F3" s="26"/>
      <c r="G3" s="26"/>
      <c r="H3" s="26"/>
      <c r="I3" s="26"/>
      <c r="J3" s="26"/>
      <c r="K3" s="26"/>
      <c r="L3" s="26"/>
      <c r="M3" s="26"/>
      <c r="N3" s="26"/>
      <c r="O3" s="26"/>
      <c r="P3" s="26"/>
      <c r="Q3" s="26"/>
      <c r="R3" s="6"/>
      <c r="S3" s="6"/>
      <c r="T3" s="6"/>
      <c r="U3" s="6"/>
    </row>
    <row r="4" spans="1:21" x14ac:dyDescent="0.25">
      <c r="A4" s="63"/>
      <c r="B4" s="24"/>
      <c r="C4" s="26"/>
      <c r="D4" s="26"/>
      <c r="E4" s="26"/>
      <c r="F4" s="26"/>
      <c r="G4" s="26"/>
      <c r="H4" s="26"/>
      <c r="I4" s="26"/>
      <c r="J4" s="26"/>
      <c r="K4" s="26"/>
      <c r="L4" s="26"/>
      <c r="M4" s="26"/>
      <c r="N4" s="26"/>
      <c r="O4" s="26"/>
      <c r="P4" s="26"/>
      <c r="Q4" s="26"/>
      <c r="R4" s="6"/>
      <c r="S4" s="6"/>
      <c r="T4" s="6"/>
      <c r="U4" s="6"/>
    </row>
    <row r="5" spans="1:21" ht="27" thickBot="1" x14ac:dyDescent="0.3">
      <c r="A5" s="122" t="s">
        <v>352</v>
      </c>
      <c r="B5" s="24"/>
      <c r="C5" s="26"/>
      <c r="D5" s="26"/>
      <c r="E5" s="26"/>
      <c r="F5" s="26"/>
      <c r="G5" s="26"/>
      <c r="H5" s="26"/>
      <c r="I5" s="26"/>
      <c r="J5" s="26"/>
      <c r="K5" s="26"/>
      <c r="L5" s="26"/>
      <c r="M5" s="26"/>
      <c r="N5" s="26"/>
      <c r="O5" s="26"/>
      <c r="P5" s="26"/>
      <c r="Q5" s="26"/>
      <c r="R5" s="6"/>
      <c r="S5" s="6"/>
      <c r="T5" s="6"/>
      <c r="U5" s="6"/>
    </row>
    <row r="6" spans="1:21" ht="16.5" thickBot="1" x14ac:dyDescent="0.3">
      <c r="A6" s="13" t="s">
        <v>89</v>
      </c>
      <c r="B6" s="17" t="s">
        <v>3</v>
      </c>
      <c r="C6" s="17">
        <v>2018</v>
      </c>
      <c r="D6" s="17" t="s">
        <v>44</v>
      </c>
      <c r="E6" s="26"/>
      <c r="F6" s="26"/>
      <c r="G6" s="26"/>
      <c r="H6" s="26"/>
      <c r="I6" s="26"/>
      <c r="J6" s="26"/>
      <c r="K6" s="26"/>
      <c r="L6" s="26"/>
      <c r="M6" s="26"/>
      <c r="N6" s="26"/>
      <c r="O6" s="26"/>
      <c r="P6" s="26"/>
      <c r="Q6" s="26"/>
      <c r="R6" s="6"/>
      <c r="S6" s="6"/>
      <c r="T6" s="6"/>
      <c r="U6" s="6"/>
    </row>
    <row r="7" spans="1:21" x14ac:dyDescent="0.25">
      <c r="A7" s="101" t="s">
        <v>90</v>
      </c>
      <c r="B7" s="99" t="s">
        <v>91</v>
      </c>
      <c r="C7" s="82">
        <v>2498.58</v>
      </c>
      <c r="D7" s="89">
        <v>0</v>
      </c>
      <c r="E7" s="26"/>
      <c r="F7" s="26"/>
      <c r="G7" s="26"/>
      <c r="H7" s="26"/>
      <c r="I7" s="26"/>
      <c r="J7" s="26"/>
      <c r="K7" s="26"/>
      <c r="L7" s="26"/>
      <c r="M7" s="26"/>
      <c r="N7" s="26"/>
      <c r="O7" s="26"/>
      <c r="P7" s="26"/>
      <c r="Q7" s="26"/>
      <c r="R7" s="6"/>
      <c r="S7" s="6"/>
      <c r="T7" s="6"/>
      <c r="U7" s="6"/>
    </row>
    <row r="8" spans="1:21" ht="25.5" x14ac:dyDescent="0.25">
      <c r="A8" s="102" t="s">
        <v>92</v>
      </c>
      <c r="B8" s="99" t="s">
        <v>93</v>
      </c>
      <c r="C8" s="83">
        <v>140530.56</v>
      </c>
      <c r="D8" s="90">
        <v>47322.390000000007</v>
      </c>
      <c r="E8" s="26"/>
      <c r="F8" s="26"/>
      <c r="G8" s="26"/>
      <c r="H8" s="26"/>
      <c r="I8" s="26"/>
      <c r="J8" s="26"/>
      <c r="K8" s="26"/>
      <c r="L8" s="26"/>
      <c r="M8" s="26"/>
      <c r="N8" s="26"/>
      <c r="O8" s="26"/>
      <c r="P8" s="26"/>
      <c r="Q8" s="26"/>
      <c r="R8" s="6"/>
      <c r="S8" s="6"/>
      <c r="T8" s="6"/>
      <c r="U8" s="6"/>
    </row>
    <row r="9" spans="1:21" ht="25.5" x14ac:dyDescent="0.25">
      <c r="A9" s="102" t="s">
        <v>94</v>
      </c>
      <c r="B9" s="99" t="s">
        <v>95</v>
      </c>
      <c r="C9" s="83">
        <v>7789.5</v>
      </c>
      <c r="D9" s="90">
        <v>9771.86</v>
      </c>
      <c r="E9" s="26"/>
      <c r="F9" s="26"/>
      <c r="G9" s="26"/>
      <c r="H9" s="26"/>
      <c r="I9" s="26"/>
      <c r="J9" s="26"/>
      <c r="K9" s="26"/>
      <c r="L9" s="26"/>
      <c r="M9" s="26"/>
      <c r="N9" s="26"/>
      <c r="O9" s="26"/>
      <c r="P9" s="26"/>
      <c r="Q9" s="26"/>
      <c r="R9" s="6"/>
      <c r="S9" s="6"/>
      <c r="T9" s="6"/>
      <c r="U9" s="6"/>
    </row>
    <row r="10" spans="1:21" ht="25.5" x14ac:dyDescent="0.25">
      <c r="A10" s="102" t="s">
        <v>96</v>
      </c>
      <c r="B10" s="99" t="s">
        <v>97</v>
      </c>
      <c r="C10" s="82">
        <v>23352.01</v>
      </c>
      <c r="D10" s="90">
        <v>40033.195000000007</v>
      </c>
      <c r="E10" s="26"/>
      <c r="F10" s="26"/>
      <c r="G10" s="26"/>
      <c r="H10" s="26"/>
      <c r="I10" s="26"/>
      <c r="J10" s="26"/>
      <c r="K10" s="26"/>
      <c r="L10" s="26"/>
      <c r="M10" s="26"/>
      <c r="N10" s="26"/>
      <c r="O10" s="26"/>
      <c r="P10" s="26"/>
      <c r="Q10" s="26"/>
      <c r="R10" s="6"/>
      <c r="S10" s="6"/>
      <c r="T10" s="6"/>
      <c r="U10" s="6"/>
    </row>
    <row r="11" spans="1:21" ht="38.25" x14ac:dyDescent="0.25">
      <c r="A11" s="103" t="s">
        <v>98</v>
      </c>
      <c r="B11" s="99" t="s">
        <v>99</v>
      </c>
      <c r="C11" s="83">
        <v>32664.05</v>
      </c>
      <c r="D11" s="90">
        <v>16388.929999999997</v>
      </c>
      <c r="E11" s="26"/>
      <c r="F11" s="26"/>
      <c r="G11" s="26"/>
      <c r="H11" s="26"/>
      <c r="I11" s="26"/>
      <c r="J11" s="26"/>
      <c r="K11" s="26"/>
      <c r="L11" s="26"/>
      <c r="M11" s="26"/>
      <c r="N11" s="26"/>
      <c r="O11" s="26"/>
      <c r="P11" s="26"/>
      <c r="Q11" s="26"/>
      <c r="R11" s="6"/>
      <c r="S11" s="6"/>
      <c r="T11" s="6"/>
      <c r="U11" s="6"/>
    </row>
    <row r="12" spans="1:21" ht="30" customHeight="1" x14ac:dyDescent="0.25">
      <c r="A12" s="102" t="s">
        <v>100</v>
      </c>
      <c r="B12" s="100" t="s">
        <v>101</v>
      </c>
      <c r="C12" s="83">
        <v>89089.79</v>
      </c>
      <c r="D12" s="90">
        <v>70064.684999999998</v>
      </c>
      <c r="E12" s="26"/>
      <c r="F12" s="26"/>
      <c r="G12" s="26"/>
      <c r="H12" s="26"/>
      <c r="I12" s="26"/>
      <c r="J12" s="26"/>
      <c r="K12" s="26"/>
      <c r="L12" s="26"/>
      <c r="M12" s="26"/>
      <c r="N12" s="26"/>
      <c r="O12" s="26"/>
      <c r="P12" s="26"/>
      <c r="Q12" s="26"/>
      <c r="R12" s="6"/>
      <c r="S12" s="6"/>
      <c r="T12" s="6"/>
      <c r="U12" s="6"/>
    </row>
    <row r="13" spans="1:21" ht="25.5" x14ac:dyDescent="0.25">
      <c r="A13" s="102" t="s">
        <v>102</v>
      </c>
      <c r="B13" s="99" t="s">
        <v>103</v>
      </c>
      <c r="C13" s="82">
        <v>69125.14</v>
      </c>
      <c r="D13" s="90">
        <v>60659.319999999992</v>
      </c>
      <c r="E13" s="26"/>
      <c r="F13" s="26"/>
      <c r="G13" s="26"/>
      <c r="H13" s="26"/>
      <c r="I13" s="26"/>
      <c r="J13" s="26"/>
      <c r="K13" s="26"/>
      <c r="L13" s="26"/>
      <c r="M13" s="26"/>
      <c r="N13" s="26"/>
      <c r="O13" s="26"/>
      <c r="P13" s="26"/>
      <c r="Q13" s="26"/>
      <c r="R13" s="6"/>
      <c r="S13" s="6"/>
      <c r="T13" s="6"/>
      <c r="U13" s="6"/>
    </row>
    <row r="14" spans="1:21" ht="63.75" x14ac:dyDescent="0.25">
      <c r="A14" s="102" t="s">
        <v>104</v>
      </c>
      <c r="B14" s="99" t="s">
        <v>105</v>
      </c>
      <c r="C14" s="83">
        <v>24385.45</v>
      </c>
      <c r="D14" s="90">
        <v>13866.64</v>
      </c>
      <c r="E14" s="26"/>
      <c r="F14" s="26"/>
      <c r="G14" s="26"/>
      <c r="H14" s="26"/>
      <c r="I14" s="26"/>
      <c r="J14" s="26"/>
      <c r="K14" s="26"/>
      <c r="L14" s="26"/>
      <c r="M14" s="26"/>
      <c r="N14" s="26"/>
      <c r="O14" s="26"/>
      <c r="P14" s="26"/>
      <c r="Q14" s="26"/>
      <c r="R14" s="6"/>
      <c r="S14" s="6"/>
      <c r="T14" s="6"/>
      <c r="U14" s="6"/>
    </row>
    <row r="15" spans="1:21" ht="77.25" thickBot="1" x14ac:dyDescent="0.3">
      <c r="A15" s="102" t="s">
        <v>106</v>
      </c>
      <c r="B15" s="99" t="s">
        <v>107</v>
      </c>
      <c r="C15" s="83">
        <v>22605.919999999998</v>
      </c>
      <c r="D15" s="90">
        <v>16442.37</v>
      </c>
      <c r="E15" s="26"/>
      <c r="F15" s="26"/>
      <c r="G15" s="26"/>
      <c r="H15" s="26"/>
      <c r="I15" s="26"/>
      <c r="J15" s="26"/>
      <c r="K15" s="26"/>
      <c r="L15" s="26"/>
      <c r="M15" s="26"/>
      <c r="N15" s="26"/>
      <c r="O15" s="26"/>
      <c r="P15" s="26"/>
      <c r="Q15" s="26"/>
      <c r="R15" s="6"/>
      <c r="S15" s="6"/>
      <c r="T15" s="6"/>
      <c r="U15" s="6"/>
    </row>
    <row r="16" spans="1:21" ht="16.5" thickBot="1" x14ac:dyDescent="0.3">
      <c r="A16" s="15" t="s">
        <v>61</v>
      </c>
      <c r="B16" s="15"/>
      <c r="C16" s="88">
        <f>SUM(C7:C15)</f>
        <v>412041</v>
      </c>
      <c r="D16" s="91">
        <f>SUM(D7:D15)</f>
        <v>274549.39</v>
      </c>
      <c r="E16" s="26"/>
      <c r="F16" s="26"/>
      <c r="G16" s="26"/>
      <c r="H16" s="26"/>
      <c r="I16" s="26"/>
      <c r="J16" s="26"/>
      <c r="K16" s="26"/>
      <c r="L16" s="26"/>
      <c r="M16" s="26"/>
      <c r="N16" s="26"/>
      <c r="O16" s="26"/>
      <c r="P16" s="26"/>
      <c r="Q16" s="26"/>
      <c r="R16" s="6"/>
      <c r="S16" s="6"/>
      <c r="T16" s="6"/>
      <c r="U16" s="6"/>
    </row>
    <row r="17" spans="1:22" x14ac:dyDescent="0.25">
      <c r="A17" s="63"/>
      <c r="B17" s="24"/>
      <c r="C17" s="26"/>
      <c r="D17" s="26"/>
      <c r="E17" s="26"/>
      <c r="F17" s="26"/>
      <c r="G17" s="26"/>
      <c r="H17" s="26"/>
      <c r="I17" s="26"/>
      <c r="J17" s="26"/>
      <c r="K17" s="26"/>
      <c r="L17" s="26"/>
      <c r="M17" s="26"/>
      <c r="N17" s="26"/>
      <c r="O17" s="26"/>
      <c r="P17" s="26"/>
      <c r="Q17" s="26"/>
      <c r="R17" s="6"/>
      <c r="S17" s="6"/>
      <c r="T17" s="6"/>
      <c r="U17" s="6"/>
    </row>
    <row r="18" spans="1:22" ht="27" thickBot="1" x14ac:dyDescent="0.3">
      <c r="A18" s="122" t="s">
        <v>350</v>
      </c>
      <c r="B18" s="24"/>
      <c r="C18" s="26"/>
      <c r="D18" s="26"/>
      <c r="E18" s="26"/>
      <c r="F18" s="26"/>
      <c r="G18" s="26"/>
      <c r="H18" s="26"/>
      <c r="I18" s="26"/>
      <c r="J18" s="26"/>
      <c r="K18" s="26"/>
      <c r="L18" s="26"/>
      <c r="M18" s="26"/>
      <c r="N18" s="26"/>
      <c r="O18" s="26"/>
      <c r="P18" s="26"/>
      <c r="Q18" s="26"/>
      <c r="R18" s="6"/>
      <c r="S18" s="6"/>
      <c r="T18" s="6"/>
      <c r="U18" s="6"/>
    </row>
    <row r="19" spans="1:22" s="3" customFormat="1" ht="16.5" thickBot="1" x14ac:dyDescent="0.3">
      <c r="A19" s="13" t="s">
        <v>89</v>
      </c>
      <c r="B19" s="17" t="s">
        <v>3</v>
      </c>
      <c r="C19" s="17" t="s">
        <v>63</v>
      </c>
      <c r="D19" s="17">
        <v>2020</v>
      </c>
      <c r="E19" s="17">
        <v>2021</v>
      </c>
      <c r="F19" s="17">
        <v>2022</v>
      </c>
      <c r="G19" s="17">
        <v>2023</v>
      </c>
      <c r="H19" s="17">
        <v>2024</v>
      </c>
      <c r="I19" s="17">
        <v>2025</v>
      </c>
      <c r="J19" s="17">
        <v>2026</v>
      </c>
      <c r="K19" s="17">
        <v>2027</v>
      </c>
      <c r="L19" s="17">
        <v>2028</v>
      </c>
      <c r="M19" s="17">
        <v>2029</v>
      </c>
      <c r="N19" s="17">
        <v>2030</v>
      </c>
      <c r="O19" s="17">
        <v>2031</v>
      </c>
      <c r="P19" s="17">
        <v>2032</v>
      </c>
      <c r="Q19" s="18" t="s">
        <v>28</v>
      </c>
      <c r="R19" s="14" t="s">
        <v>64</v>
      </c>
    </row>
    <row r="20" spans="1:22" ht="25.5" x14ac:dyDescent="0.25">
      <c r="A20" s="98" t="s">
        <v>100</v>
      </c>
      <c r="B20" s="98" t="s">
        <v>101</v>
      </c>
      <c r="C20" s="82">
        <v>199615.99430000002</v>
      </c>
      <c r="D20" s="90">
        <v>462254.54953000031</v>
      </c>
      <c r="E20" s="90">
        <v>526897.60233062343</v>
      </c>
      <c r="F20" s="90">
        <v>599205.67817025003</v>
      </c>
      <c r="G20" s="90">
        <v>538786.11999999988</v>
      </c>
      <c r="H20" s="90">
        <v>489998.83</v>
      </c>
      <c r="I20" s="90">
        <v>246898.55</v>
      </c>
      <c r="J20" s="55"/>
      <c r="K20" s="55"/>
      <c r="L20" s="55"/>
      <c r="M20" s="55"/>
      <c r="N20" s="55"/>
      <c r="O20" s="201"/>
      <c r="P20" s="201"/>
      <c r="Q20" s="64">
        <f>SUM(C20:P20)</f>
        <v>3063657.3243308738</v>
      </c>
      <c r="R20" s="51"/>
    </row>
    <row r="21" spans="1:22" ht="25.5" x14ac:dyDescent="0.25">
      <c r="A21" s="99" t="s">
        <v>92</v>
      </c>
      <c r="B21" s="99" t="s">
        <v>93</v>
      </c>
      <c r="C21" s="83">
        <v>145320.99250000002</v>
      </c>
      <c r="D21" s="90">
        <v>206661.60850000003</v>
      </c>
      <c r="E21" s="90">
        <v>220177.09849999996</v>
      </c>
      <c r="F21" s="90">
        <v>287450.96224349993</v>
      </c>
      <c r="G21" s="90">
        <v>142539.27999999997</v>
      </c>
      <c r="H21" s="90">
        <v>123508.85999999999</v>
      </c>
      <c r="I21" s="90">
        <v>46419.94000000001</v>
      </c>
      <c r="J21" s="58"/>
      <c r="K21" s="59"/>
      <c r="L21" s="54"/>
      <c r="M21" s="54"/>
      <c r="N21" s="54"/>
      <c r="O21" s="202"/>
      <c r="P21" s="202"/>
      <c r="Q21" s="64">
        <f t="shared" ref="Q21:Q33" si="0">SUM(C21:P21)</f>
        <v>1172078.7417434999</v>
      </c>
      <c r="R21" s="51"/>
      <c r="S21" s="27"/>
    </row>
    <row r="22" spans="1:22" ht="32.450000000000003" customHeight="1" x14ac:dyDescent="0.25">
      <c r="A22" s="99" t="s">
        <v>94</v>
      </c>
      <c r="B22" s="99" t="s">
        <v>95</v>
      </c>
      <c r="C22" s="83">
        <v>259135.41250000001</v>
      </c>
      <c r="D22" s="90">
        <v>821386.79950000008</v>
      </c>
      <c r="E22" s="90">
        <v>979591.90579999995</v>
      </c>
      <c r="F22" s="90">
        <v>1076891.6772092499</v>
      </c>
      <c r="G22" s="90">
        <v>1044987.7024999999</v>
      </c>
      <c r="H22" s="90">
        <v>702344.08499999996</v>
      </c>
      <c r="I22" s="90">
        <v>291430.48</v>
      </c>
      <c r="J22" s="58"/>
      <c r="K22" s="59"/>
      <c r="L22" s="54"/>
      <c r="M22" s="54"/>
      <c r="N22" s="54"/>
      <c r="O22" s="202"/>
      <c r="P22" s="202"/>
      <c r="Q22" s="64">
        <f t="shared" si="0"/>
        <v>5175768.0625092499</v>
      </c>
      <c r="R22" s="51"/>
      <c r="S22" s="27"/>
    </row>
    <row r="23" spans="1:22" ht="25.5" x14ac:dyDescent="0.25">
      <c r="A23" s="120" t="s">
        <v>108</v>
      </c>
      <c r="B23" s="99" t="s">
        <v>109</v>
      </c>
      <c r="C23" s="83">
        <v>68693.329800000007</v>
      </c>
      <c r="D23" s="90">
        <v>52473.377999999997</v>
      </c>
      <c r="E23" s="90">
        <v>120942.0564</v>
      </c>
      <c r="F23" s="90">
        <v>177735.604422</v>
      </c>
      <c r="G23" s="90">
        <v>176868.44249999995</v>
      </c>
      <c r="H23" s="90">
        <v>89797.440000000002</v>
      </c>
      <c r="I23" s="90">
        <v>28828.48</v>
      </c>
      <c r="J23" s="58"/>
      <c r="K23" s="59"/>
      <c r="L23" s="54"/>
      <c r="M23" s="54"/>
      <c r="N23" s="54"/>
      <c r="O23" s="202"/>
      <c r="P23" s="202"/>
      <c r="Q23" s="64">
        <f t="shared" si="0"/>
        <v>715338.73112199991</v>
      </c>
      <c r="R23" s="52"/>
      <c r="S23" s="27"/>
    </row>
    <row r="24" spans="1:22" ht="38.25" x14ac:dyDescent="0.25">
      <c r="A24" s="99" t="s">
        <v>98</v>
      </c>
      <c r="B24" s="99" t="s">
        <v>110</v>
      </c>
      <c r="C24" s="56">
        <v>87333.977500000008</v>
      </c>
      <c r="D24" s="90">
        <v>54181.404999999999</v>
      </c>
      <c r="E24" s="90">
        <v>119636.7188</v>
      </c>
      <c r="F24" s="90">
        <v>90442.267444500001</v>
      </c>
      <c r="G24" s="90">
        <v>29081.584999999999</v>
      </c>
      <c r="H24" s="90">
        <v>32145.010000000002</v>
      </c>
      <c r="I24" s="90">
        <v>17549.439999999999</v>
      </c>
      <c r="J24" s="59"/>
      <c r="K24" s="59"/>
      <c r="L24" s="59"/>
      <c r="M24" s="59"/>
      <c r="N24" s="59"/>
      <c r="O24" s="202"/>
      <c r="P24" s="202"/>
      <c r="Q24" s="64">
        <f t="shared" si="0"/>
        <v>430370.40374450001</v>
      </c>
      <c r="R24" s="51"/>
      <c r="S24" s="27"/>
    </row>
    <row r="25" spans="1:22" ht="25.5" x14ac:dyDescent="0.25">
      <c r="A25" s="99" t="s">
        <v>111</v>
      </c>
      <c r="B25" s="99" t="s">
        <v>103</v>
      </c>
      <c r="C25" s="56">
        <v>105347.93500000001</v>
      </c>
      <c r="D25" s="90">
        <v>43176.608099999998</v>
      </c>
      <c r="E25" s="90">
        <v>71261.434999999998</v>
      </c>
      <c r="F25" s="90">
        <v>139694.60999999999</v>
      </c>
      <c r="G25" s="90">
        <v>118854.45</v>
      </c>
      <c r="H25" s="90">
        <v>150236.58000000002</v>
      </c>
      <c r="I25" s="90">
        <v>74938.239999999991</v>
      </c>
      <c r="J25" s="59"/>
      <c r="K25" s="59"/>
      <c r="L25" s="59"/>
      <c r="M25" s="59"/>
      <c r="N25" s="59"/>
      <c r="O25" s="202"/>
      <c r="P25" s="202"/>
      <c r="Q25" s="64">
        <f t="shared" si="0"/>
        <v>703509.85810000007</v>
      </c>
      <c r="R25" s="51"/>
      <c r="S25" s="27"/>
    </row>
    <row r="26" spans="1:22" ht="63.75" x14ac:dyDescent="0.25">
      <c r="A26" s="100" t="s">
        <v>112</v>
      </c>
      <c r="B26" s="100" t="s">
        <v>105</v>
      </c>
      <c r="C26" s="56">
        <v>131440.8075</v>
      </c>
      <c r="D26" s="90">
        <v>202616.7953687</v>
      </c>
      <c r="E26" s="90">
        <v>247929.1801</v>
      </c>
      <c r="F26" s="90">
        <v>214156.40617640002</v>
      </c>
      <c r="G26" s="90">
        <v>215383.69</v>
      </c>
      <c r="H26" s="90">
        <v>331618.53000000003</v>
      </c>
      <c r="I26" s="90">
        <v>134464.92999999996</v>
      </c>
      <c r="J26" s="59"/>
      <c r="K26" s="59"/>
      <c r="L26" s="59"/>
      <c r="M26" s="59"/>
      <c r="N26" s="59"/>
      <c r="O26" s="202"/>
      <c r="P26" s="202"/>
      <c r="Q26" s="64">
        <f t="shared" si="0"/>
        <v>1477610.3391451</v>
      </c>
      <c r="R26" s="51"/>
      <c r="S26" s="27"/>
    </row>
    <row r="27" spans="1:22" ht="76.5" x14ac:dyDescent="0.25">
      <c r="A27" s="99" t="s">
        <v>113</v>
      </c>
      <c r="B27" s="100" t="s">
        <v>107</v>
      </c>
      <c r="C27" s="56">
        <v>42679.214099999997</v>
      </c>
      <c r="D27" s="90">
        <v>48429.272499999999</v>
      </c>
      <c r="E27" s="90">
        <v>87302.42200000002</v>
      </c>
      <c r="F27" s="90">
        <v>92121.69</v>
      </c>
      <c r="G27" s="90">
        <v>86398.989999999962</v>
      </c>
      <c r="H27" s="90">
        <v>54096.407500000016</v>
      </c>
      <c r="I27" s="90">
        <v>8935.08</v>
      </c>
      <c r="J27" s="59"/>
      <c r="K27" s="59"/>
      <c r="L27" s="59"/>
      <c r="M27" s="59"/>
      <c r="N27" s="59"/>
      <c r="O27" s="202"/>
      <c r="P27" s="202"/>
      <c r="Q27" s="64">
        <f t="shared" si="0"/>
        <v>419963.07610000006</v>
      </c>
      <c r="R27" s="51"/>
      <c r="S27" s="27"/>
    </row>
    <row r="28" spans="1:22" ht="25.5" x14ac:dyDescent="0.25">
      <c r="A28" s="99" t="s">
        <v>114</v>
      </c>
      <c r="B28" s="99" t="s">
        <v>115</v>
      </c>
      <c r="C28" s="56">
        <v>68661.225000000006</v>
      </c>
      <c r="D28" s="90">
        <v>29070.400000000001</v>
      </c>
      <c r="E28" s="90">
        <v>42006.857500000006</v>
      </c>
      <c r="F28" s="90">
        <v>37252.199999999997</v>
      </c>
      <c r="G28" s="90">
        <v>37051.49</v>
      </c>
      <c r="H28" s="90">
        <v>35486.854999999996</v>
      </c>
      <c r="I28" s="90">
        <v>18750.509999999998</v>
      </c>
      <c r="J28" s="59"/>
      <c r="K28" s="59"/>
      <c r="L28" s="59"/>
      <c r="M28" s="59"/>
      <c r="N28" s="59"/>
      <c r="O28" s="202"/>
      <c r="P28" s="202"/>
      <c r="Q28" s="64">
        <f t="shared" si="0"/>
        <v>268279.53749999998</v>
      </c>
      <c r="R28" s="51"/>
      <c r="S28" s="27"/>
    </row>
    <row r="29" spans="1:22" ht="89.25" x14ac:dyDescent="0.25">
      <c r="A29" s="104" t="s">
        <v>116</v>
      </c>
      <c r="B29" s="104" t="s">
        <v>117</v>
      </c>
      <c r="C29" s="56">
        <v>72831.180000000008</v>
      </c>
      <c r="D29" s="90">
        <v>58721.13</v>
      </c>
      <c r="E29" s="90">
        <v>117858.55999999997</v>
      </c>
      <c r="F29" s="90">
        <v>198549.40224349999</v>
      </c>
      <c r="G29" s="90">
        <v>194272.17499999999</v>
      </c>
      <c r="H29" s="90">
        <v>175364.84000000003</v>
      </c>
      <c r="I29" s="90">
        <v>20546.7</v>
      </c>
      <c r="J29" s="59"/>
      <c r="K29" s="59"/>
      <c r="L29" s="59"/>
      <c r="M29" s="59"/>
      <c r="N29" s="59"/>
      <c r="O29" s="202"/>
      <c r="P29" s="202"/>
      <c r="Q29" s="64">
        <f t="shared" si="0"/>
        <v>838143.98724350007</v>
      </c>
      <c r="R29" s="51"/>
      <c r="S29" s="27"/>
    </row>
    <row r="30" spans="1:22" ht="63.75" x14ac:dyDescent="0.25">
      <c r="A30" s="99" t="s">
        <v>118</v>
      </c>
      <c r="B30" s="99" t="s">
        <v>119</v>
      </c>
      <c r="C30" s="56">
        <v>108816.46328000003</v>
      </c>
      <c r="D30" s="90">
        <v>80817.689999999973</v>
      </c>
      <c r="E30" s="90">
        <v>136269.93499999994</v>
      </c>
      <c r="F30" s="90">
        <v>92019.840000000026</v>
      </c>
      <c r="G30" s="90">
        <v>65319.180000000008</v>
      </c>
      <c r="H30" s="90">
        <v>84000.977499999979</v>
      </c>
      <c r="I30" s="90">
        <v>42942.48000000001</v>
      </c>
      <c r="J30" s="59"/>
      <c r="K30" s="59"/>
      <c r="L30" s="59"/>
      <c r="M30" s="59"/>
      <c r="N30" s="59"/>
      <c r="O30" s="202"/>
      <c r="P30" s="202"/>
      <c r="Q30" s="64">
        <f t="shared" si="0"/>
        <v>610186.56577999983</v>
      </c>
      <c r="R30" s="51"/>
      <c r="S30" s="27"/>
    </row>
    <row r="31" spans="1:22" ht="38.25" x14ac:dyDescent="0.25">
      <c r="A31" s="92" t="s">
        <v>120</v>
      </c>
      <c r="B31" s="100" t="s">
        <v>121</v>
      </c>
      <c r="C31" s="56">
        <v>14633.975</v>
      </c>
      <c r="D31" s="90">
        <v>8628.0949999999993</v>
      </c>
      <c r="E31" s="90">
        <v>76836.374500000005</v>
      </c>
      <c r="F31" s="90">
        <v>154386.07</v>
      </c>
      <c r="G31" s="90">
        <v>167689.26049999997</v>
      </c>
      <c r="H31" s="90">
        <v>120821.02999999997</v>
      </c>
      <c r="I31" s="90">
        <v>38020.339999999997</v>
      </c>
      <c r="J31" s="59"/>
      <c r="K31" s="59"/>
      <c r="L31" s="59"/>
      <c r="M31" s="59"/>
      <c r="N31" s="59"/>
      <c r="O31" s="59"/>
      <c r="P31" s="59"/>
      <c r="Q31" s="64">
        <f t="shared" si="0"/>
        <v>581015.1449999999</v>
      </c>
      <c r="R31" s="51"/>
      <c r="S31" s="8"/>
      <c r="T31" s="10"/>
      <c r="U31" s="10"/>
      <c r="V31" s="10"/>
    </row>
    <row r="32" spans="1:22" ht="25.5" x14ac:dyDescent="0.25">
      <c r="A32" s="98" t="s">
        <v>122</v>
      </c>
      <c r="B32" s="98" t="s">
        <v>123</v>
      </c>
      <c r="C32" s="93">
        <v>102408.4648</v>
      </c>
      <c r="D32" s="90">
        <v>89780.298500000004</v>
      </c>
      <c r="E32" s="90">
        <v>70490.043250000002</v>
      </c>
      <c r="F32" s="90">
        <v>75158.904486999993</v>
      </c>
      <c r="G32" s="90">
        <v>77923.81</v>
      </c>
      <c r="H32" s="90">
        <v>81470.330000000016</v>
      </c>
      <c r="I32" s="90">
        <v>30436.980000000003</v>
      </c>
      <c r="J32" s="59"/>
      <c r="K32" s="59"/>
      <c r="L32" s="59"/>
      <c r="M32" s="59"/>
      <c r="N32" s="59"/>
      <c r="O32" s="59"/>
      <c r="P32" s="59"/>
      <c r="Q32" s="64">
        <f t="shared" si="0"/>
        <v>527668.83103699994</v>
      </c>
      <c r="R32" s="51"/>
      <c r="S32" s="8"/>
      <c r="T32" s="10"/>
      <c r="U32" s="10"/>
      <c r="V32" s="10"/>
    </row>
    <row r="33" spans="1:22" ht="44.25" customHeight="1" thickBot="1" x14ac:dyDescent="0.3">
      <c r="A33" s="211" t="s">
        <v>354</v>
      </c>
      <c r="B33" s="211" t="s">
        <v>355</v>
      </c>
      <c r="C33" s="214">
        <v>0</v>
      </c>
      <c r="D33" s="212">
        <v>0</v>
      </c>
      <c r="E33" s="212">
        <v>0</v>
      </c>
      <c r="F33" s="212">
        <v>0</v>
      </c>
      <c r="G33" s="212">
        <v>0</v>
      </c>
      <c r="H33" s="212">
        <v>0</v>
      </c>
      <c r="I33" s="90">
        <v>13086.57</v>
      </c>
      <c r="J33" s="62"/>
      <c r="K33" s="62"/>
      <c r="L33" s="62"/>
      <c r="M33" s="62"/>
      <c r="N33" s="62"/>
      <c r="O33" s="62"/>
      <c r="P33" s="62"/>
      <c r="Q33" s="216">
        <f t="shared" si="0"/>
        <v>13086.57</v>
      </c>
      <c r="R33" s="215"/>
      <c r="S33" s="8"/>
      <c r="T33" s="10"/>
      <c r="U33" s="10"/>
      <c r="V33" s="10"/>
    </row>
    <row r="34" spans="1:22" s="3" customFormat="1" ht="16.5" thickBot="1" x14ac:dyDescent="0.3">
      <c r="A34" s="15" t="s">
        <v>124</v>
      </c>
      <c r="B34" s="15"/>
      <c r="C34" s="85">
        <f>SUM(C20:C33)</f>
        <v>1406918.9712800002</v>
      </c>
      <c r="D34" s="85">
        <f t="shared" ref="D34:P34" si="1">SUM(D20:D33)</f>
        <v>2158198.0299987001</v>
      </c>
      <c r="E34" s="85">
        <f t="shared" si="1"/>
        <v>2817200.1891806237</v>
      </c>
      <c r="F34" s="85">
        <f t="shared" si="1"/>
        <v>3235065.3123963992</v>
      </c>
      <c r="G34" s="85">
        <f t="shared" si="1"/>
        <v>2895156.1754999994</v>
      </c>
      <c r="H34" s="85">
        <f t="shared" si="1"/>
        <v>2470889.7749999999</v>
      </c>
      <c r="I34" s="85">
        <f t="shared" si="1"/>
        <v>1013248.7199999996</v>
      </c>
      <c r="J34" s="85">
        <f t="shared" si="1"/>
        <v>0</v>
      </c>
      <c r="K34" s="85">
        <f t="shared" si="1"/>
        <v>0</v>
      </c>
      <c r="L34" s="85">
        <f t="shared" si="1"/>
        <v>0</v>
      </c>
      <c r="M34" s="85">
        <f t="shared" si="1"/>
        <v>0</v>
      </c>
      <c r="N34" s="85">
        <f t="shared" si="1"/>
        <v>0</v>
      </c>
      <c r="O34" s="85">
        <f t="shared" si="1"/>
        <v>0</v>
      </c>
      <c r="P34" s="85">
        <f t="shared" si="1"/>
        <v>0</v>
      </c>
      <c r="Q34" s="45">
        <f>SUM(C34:P34)+(C16+D16)</f>
        <v>16683267.563355723</v>
      </c>
      <c r="R34" s="133" t="s">
        <v>87</v>
      </c>
    </row>
    <row r="35" spans="1:22" x14ac:dyDescent="0.25">
      <c r="C35" s="12"/>
      <c r="D35" s="12"/>
      <c r="E35" s="12"/>
      <c r="F35" s="12"/>
      <c r="G35" s="12"/>
      <c r="H35" s="12"/>
      <c r="J35" s="12"/>
      <c r="K35" s="12"/>
      <c r="L35" s="12"/>
      <c r="M35" s="12"/>
      <c r="N35" s="12"/>
      <c r="O35" s="12"/>
      <c r="P35" s="12"/>
      <c r="Q35" s="12"/>
    </row>
    <row r="36" spans="1:22" ht="45" x14ac:dyDescent="0.25">
      <c r="A36" s="113" t="s">
        <v>125</v>
      </c>
    </row>
    <row r="38" spans="1:22" ht="104.25" customHeight="1" x14ac:dyDescent="0.25">
      <c r="A38" s="121" t="s">
        <v>126</v>
      </c>
    </row>
    <row r="39" spans="1:22" ht="54" customHeight="1" x14ac:dyDescent="0.25">
      <c r="A39" s="213" t="s">
        <v>356</v>
      </c>
    </row>
    <row r="42" spans="1:22" x14ac:dyDescent="0.25">
      <c r="C42"/>
      <c r="D42"/>
      <c r="E42"/>
      <c r="F42"/>
      <c r="G42"/>
      <c r="H42"/>
      <c r="I42"/>
      <c r="J42"/>
      <c r="K42"/>
      <c r="L42"/>
      <c r="M42"/>
      <c r="N42"/>
      <c r="O42"/>
      <c r="P42"/>
      <c r="Q42"/>
    </row>
    <row r="43" spans="1:22" x14ac:dyDescent="0.25">
      <c r="C43"/>
      <c r="D43"/>
      <c r="E43"/>
      <c r="F43"/>
      <c r="G43"/>
      <c r="H43"/>
      <c r="I43"/>
      <c r="J43"/>
      <c r="K43"/>
      <c r="L43"/>
      <c r="M43"/>
      <c r="N43"/>
      <c r="O43"/>
      <c r="P43"/>
      <c r="Q43"/>
    </row>
    <row r="44" spans="1:22" x14ac:dyDescent="0.25">
      <c r="C44"/>
      <c r="D44"/>
      <c r="E44"/>
      <c r="F44"/>
      <c r="G44"/>
      <c r="H44"/>
      <c r="I44"/>
      <c r="J44"/>
      <c r="K44"/>
      <c r="L44"/>
      <c r="M44"/>
      <c r="N44"/>
      <c r="O44"/>
      <c r="P44"/>
      <c r="Q44"/>
    </row>
    <row r="45" spans="1:22" x14ac:dyDescent="0.25">
      <c r="C45"/>
      <c r="D45"/>
      <c r="E45"/>
      <c r="F45"/>
      <c r="G45"/>
      <c r="H45"/>
      <c r="I45"/>
      <c r="J45"/>
      <c r="K45"/>
      <c r="L45"/>
      <c r="M45"/>
      <c r="N45"/>
      <c r="O45"/>
      <c r="P45"/>
      <c r="Q45"/>
    </row>
    <row r="46" spans="1:22" x14ac:dyDescent="0.25">
      <c r="C46"/>
      <c r="D46"/>
      <c r="E46"/>
      <c r="F46"/>
      <c r="G46"/>
      <c r="H46"/>
      <c r="I46"/>
      <c r="J46"/>
      <c r="K46"/>
      <c r="L46"/>
      <c r="M46"/>
      <c r="N46"/>
      <c r="O46"/>
      <c r="P46"/>
      <c r="Q46"/>
    </row>
    <row r="47" spans="1:22" x14ac:dyDescent="0.25">
      <c r="C47"/>
      <c r="D47"/>
      <c r="E47"/>
      <c r="F47"/>
      <c r="G47"/>
      <c r="H47"/>
      <c r="I47"/>
      <c r="J47"/>
      <c r="K47"/>
      <c r="L47"/>
      <c r="M47"/>
      <c r="N47"/>
      <c r="O47"/>
      <c r="P47"/>
      <c r="Q47"/>
    </row>
    <row r="48" spans="1:22" x14ac:dyDescent="0.25">
      <c r="C48"/>
      <c r="D48"/>
      <c r="E48"/>
      <c r="F48"/>
      <c r="G48"/>
      <c r="H48"/>
      <c r="I48"/>
      <c r="J48"/>
      <c r="K48"/>
      <c r="L48"/>
      <c r="M48"/>
      <c r="N48"/>
      <c r="O48"/>
      <c r="P48"/>
      <c r="Q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sheetData>
  <sheetProtection algorithmName="SHA-512" hashValue="baWSpx7I8fZghMx/Gy0q3hTZhk/lnqOUMN2av/Nom8wGMcoaHVHp2nANhIs6ahJiUX7N4vSXNmwCsfXsef+Hug==" saltValue="5ySWDIJWHRTHLcqe5gXDww==" spinCount="100000" sheet="1" objects="1" scenarios="1"/>
  <customSheetViews>
    <customSheetView guid="{9D8689BD-5DE1-44EE-AD85-AABB805F8C74}" topLeftCell="A31">
      <selection activeCell="N49" sqref="N49"/>
      <pageMargins left="0" right="0" top="0" bottom="0" header="0" footer="0"/>
      <pageSetup orientation="portrait" r:id="rId1"/>
    </customSheetView>
    <customSheetView guid="{524D39D6-D9FA-43B9-A02A-7383F59753BD}">
      <selection activeCell="K60" sqref="K60"/>
      <pageMargins left="0" right="0" top="0" bottom="0" header="0" footer="0"/>
      <pageSetup orientation="portrait" r:id="rId2"/>
    </customSheetView>
  </customSheetView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U62"/>
  <sheetViews>
    <sheetView topLeftCell="A8" zoomScale="80" zoomScaleNormal="80" workbookViewId="0">
      <pane xSplit="1" topLeftCell="B1" activePane="topRight" state="frozen"/>
      <selection pane="topRight" activeCell="I28" sqref="I28"/>
    </sheetView>
  </sheetViews>
  <sheetFormatPr defaultColWidth="9.140625" defaultRowHeight="12.75" x14ac:dyDescent="0.2"/>
  <cols>
    <col min="1" max="1" width="59.85546875" style="39" customWidth="1"/>
    <col min="2" max="2" width="33.42578125" style="39" bestFit="1" customWidth="1"/>
    <col min="3" max="17" width="22.5703125" style="41" customWidth="1"/>
    <col min="18" max="18" width="45.85546875" style="39" customWidth="1"/>
    <col min="19" max="19" width="11.140625" style="39" customWidth="1"/>
    <col min="20" max="20" width="11.5703125" style="39" customWidth="1"/>
    <col min="21" max="21" width="13.42578125" style="39" customWidth="1"/>
    <col min="22" max="22" width="11.42578125" style="39" bestFit="1" customWidth="1"/>
    <col min="23" max="16384" width="9.140625" style="39"/>
  </cols>
  <sheetData>
    <row r="1" spans="1:21" s="6" customFormat="1" ht="15.75" x14ac:dyDescent="0.25">
      <c r="A1" s="128" t="str">
        <f>'1. Expenditures'!A1</f>
        <v>SOMAH Program Administrator</v>
      </c>
      <c r="C1" s="26"/>
      <c r="D1" s="26"/>
      <c r="E1" s="26"/>
      <c r="F1" s="26"/>
      <c r="G1" s="26"/>
      <c r="H1" s="26"/>
      <c r="I1" s="26"/>
      <c r="J1" s="26"/>
      <c r="K1" s="26"/>
      <c r="L1" s="26"/>
      <c r="M1" s="26"/>
      <c r="N1" s="26"/>
      <c r="O1" s="26"/>
      <c r="P1" s="26"/>
      <c r="Q1" s="26"/>
    </row>
    <row r="2" spans="1:21" x14ac:dyDescent="0.2">
      <c r="A2" s="182" t="str">
        <f>'1. Expenditures'!A2</f>
        <v>Reporting Date: July 31, 2025</v>
      </c>
      <c r="B2" s="6"/>
      <c r="C2" s="26"/>
      <c r="D2" s="26"/>
      <c r="E2" s="26"/>
      <c r="F2" s="26"/>
      <c r="G2" s="26"/>
      <c r="H2" s="26"/>
      <c r="I2" s="26"/>
      <c r="J2" s="26"/>
      <c r="K2" s="26"/>
      <c r="L2" s="26"/>
      <c r="M2" s="26"/>
      <c r="N2" s="26"/>
      <c r="O2" s="26"/>
      <c r="P2" s="26"/>
      <c r="Q2" s="26"/>
      <c r="R2" s="6"/>
      <c r="S2" s="6"/>
      <c r="T2" s="6"/>
      <c r="U2" s="6"/>
    </row>
    <row r="3" spans="1:21" x14ac:dyDescent="0.2">
      <c r="A3" s="63" t="str">
        <f>'1. Expenditures'!A3</f>
        <v>Reporting Data Through: June 30, 2025</v>
      </c>
      <c r="B3" s="24"/>
      <c r="C3" s="26"/>
      <c r="D3" s="26"/>
      <c r="E3" s="26"/>
      <c r="F3" s="26"/>
      <c r="G3" s="26"/>
      <c r="H3" s="26"/>
      <c r="I3" s="26"/>
      <c r="J3" s="26"/>
      <c r="K3" s="26"/>
      <c r="L3" s="26"/>
      <c r="M3" s="26"/>
      <c r="N3" s="26"/>
      <c r="O3" s="26"/>
      <c r="P3" s="26"/>
      <c r="Q3" s="26"/>
      <c r="R3" s="6"/>
      <c r="S3" s="6"/>
      <c r="T3" s="6"/>
      <c r="U3" s="6"/>
    </row>
    <row r="4" spans="1:21" x14ac:dyDescent="0.2">
      <c r="A4" s="63"/>
      <c r="B4" s="24"/>
      <c r="C4" s="26"/>
      <c r="D4" s="26"/>
      <c r="E4" s="26"/>
      <c r="F4" s="26"/>
      <c r="G4" s="26"/>
      <c r="H4" s="26"/>
      <c r="I4" s="26"/>
      <c r="J4" s="26"/>
      <c r="K4" s="26"/>
      <c r="L4" s="26"/>
      <c r="M4" s="26"/>
      <c r="N4" s="26"/>
      <c r="O4" s="26"/>
      <c r="P4" s="26"/>
      <c r="Q4" s="26"/>
      <c r="R4" s="6"/>
      <c r="S4" s="6"/>
      <c r="T4" s="6"/>
      <c r="U4" s="6"/>
    </row>
    <row r="5" spans="1:21" ht="26.25" thickBot="1" x14ac:dyDescent="0.25">
      <c r="A5" s="122" t="s">
        <v>353</v>
      </c>
      <c r="B5" s="24"/>
      <c r="C5" s="26"/>
      <c r="D5" s="26"/>
      <c r="E5" s="26"/>
      <c r="F5" s="26"/>
      <c r="G5" s="26"/>
      <c r="H5" s="26"/>
      <c r="I5" s="26"/>
      <c r="J5" s="26"/>
      <c r="K5" s="26"/>
      <c r="L5" s="26"/>
      <c r="M5" s="26"/>
      <c r="N5" s="26"/>
      <c r="O5" s="26"/>
      <c r="P5" s="26"/>
      <c r="Q5" s="26"/>
      <c r="R5" s="6"/>
      <c r="S5" s="6"/>
      <c r="T5" s="6"/>
      <c r="U5" s="6"/>
    </row>
    <row r="6" spans="1:21" s="3" customFormat="1" ht="16.5" thickBot="1" x14ac:dyDescent="0.3">
      <c r="A6" s="13" t="s">
        <v>127</v>
      </c>
      <c r="B6" s="17" t="s">
        <v>3</v>
      </c>
      <c r="C6" s="17">
        <v>2018</v>
      </c>
      <c r="D6" s="17" t="s">
        <v>44</v>
      </c>
      <c r="E6" s="25"/>
      <c r="F6" s="25"/>
      <c r="G6" s="25"/>
      <c r="H6" s="25"/>
      <c r="I6" s="25"/>
      <c r="J6" s="25"/>
      <c r="K6" s="25"/>
      <c r="L6" s="25"/>
      <c r="M6" s="25"/>
      <c r="N6" s="25"/>
      <c r="O6" s="25"/>
      <c r="P6" s="25"/>
      <c r="Q6" s="25"/>
      <c r="R6" s="2"/>
      <c r="S6" s="2"/>
      <c r="T6" s="2"/>
      <c r="U6" s="2"/>
    </row>
    <row r="7" spans="1:21" ht="54" customHeight="1" x14ac:dyDescent="0.2">
      <c r="A7" s="102" t="s">
        <v>128</v>
      </c>
      <c r="B7" s="107" t="s">
        <v>129</v>
      </c>
      <c r="C7" s="82">
        <v>590.73</v>
      </c>
      <c r="D7" s="82">
        <v>2369.5200000000004</v>
      </c>
      <c r="E7" s="26"/>
      <c r="F7" s="26"/>
      <c r="G7" s="26"/>
      <c r="H7" s="26"/>
      <c r="I7" s="26"/>
      <c r="J7" s="26"/>
      <c r="K7" s="26"/>
      <c r="L7" s="26"/>
      <c r="M7" s="26"/>
      <c r="N7" s="26"/>
      <c r="O7" s="26"/>
      <c r="P7" s="26"/>
      <c r="Q7" s="26"/>
      <c r="R7" s="6"/>
      <c r="S7" s="6"/>
      <c r="T7" s="6"/>
      <c r="U7" s="6"/>
    </row>
    <row r="8" spans="1:21" ht="78.75" customHeight="1" x14ac:dyDescent="0.2">
      <c r="A8" s="102" t="s">
        <v>130</v>
      </c>
      <c r="B8" s="105" t="s">
        <v>131</v>
      </c>
      <c r="C8" s="82">
        <v>12742.77</v>
      </c>
      <c r="D8" s="82">
        <v>20977.85</v>
      </c>
      <c r="E8" s="26"/>
      <c r="F8" s="26"/>
      <c r="G8" s="26"/>
      <c r="H8" s="26"/>
      <c r="I8" s="26"/>
      <c r="J8" s="26"/>
      <c r="K8" s="26"/>
      <c r="L8" s="26"/>
      <c r="M8" s="26"/>
      <c r="N8" s="26"/>
      <c r="O8" s="26"/>
      <c r="P8" s="26"/>
      <c r="Q8" s="26"/>
      <c r="R8" s="6"/>
      <c r="S8" s="6"/>
      <c r="T8" s="6"/>
      <c r="U8" s="6"/>
    </row>
    <row r="9" spans="1:21" ht="44.25" customHeight="1" x14ac:dyDescent="0.2">
      <c r="A9" s="102" t="s">
        <v>132</v>
      </c>
      <c r="B9" s="105" t="s">
        <v>133</v>
      </c>
      <c r="C9" s="83"/>
      <c r="D9" s="83">
        <v>0</v>
      </c>
      <c r="E9" s="26"/>
      <c r="F9" s="26"/>
      <c r="G9" s="26"/>
      <c r="H9" s="26"/>
      <c r="I9" s="26"/>
      <c r="J9" s="26"/>
      <c r="K9" s="26"/>
      <c r="L9" s="26"/>
      <c r="M9" s="26"/>
      <c r="N9" s="26"/>
      <c r="O9" s="26"/>
      <c r="P9" s="26"/>
      <c r="Q9" s="26"/>
      <c r="R9" s="6"/>
      <c r="S9" s="6"/>
      <c r="T9" s="6"/>
      <c r="U9" s="6"/>
    </row>
    <row r="10" spans="1:21" ht="25.5" x14ac:dyDescent="0.2">
      <c r="A10" s="102" t="s">
        <v>134</v>
      </c>
      <c r="B10" s="107" t="s">
        <v>135</v>
      </c>
      <c r="C10" s="84"/>
      <c r="D10" s="83">
        <v>2464.0400000000004</v>
      </c>
      <c r="E10" s="26"/>
      <c r="F10" s="26"/>
      <c r="G10" s="26"/>
      <c r="H10" s="26"/>
      <c r="I10" s="26"/>
      <c r="J10" s="26"/>
      <c r="K10" s="26"/>
      <c r="L10" s="26"/>
      <c r="M10" s="26"/>
      <c r="N10" s="26"/>
      <c r="O10" s="26"/>
      <c r="P10" s="26"/>
      <c r="Q10" s="26"/>
      <c r="R10" s="6"/>
      <c r="S10" s="6"/>
      <c r="T10" s="6"/>
      <c r="U10" s="6"/>
    </row>
    <row r="11" spans="1:21" ht="25.5" x14ac:dyDescent="0.2">
      <c r="A11" s="102" t="s">
        <v>136</v>
      </c>
      <c r="B11" s="105" t="s">
        <v>137</v>
      </c>
      <c r="C11" s="83"/>
      <c r="D11" s="83">
        <v>0</v>
      </c>
      <c r="E11" s="26"/>
      <c r="F11" s="26"/>
      <c r="G11" s="26"/>
      <c r="H11" s="26"/>
      <c r="I11" s="26"/>
      <c r="J11" s="26"/>
      <c r="K11" s="26"/>
      <c r="L11" s="26"/>
      <c r="M11" s="26"/>
      <c r="N11" s="26"/>
      <c r="O11" s="26"/>
      <c r="P11" s="26"/>
      <c r="Q11" s="26"/>
      <c r="R11" s="6"/>
      <c r="S11" s="6"/>
      <c r="T11" s="6"/>
      <c r="U11" s="6"/>
    </row>
    <row r="12" spans="1:21" ht="25.5" x14ac:dyDescent="0.2">
      <c r="A12" s="102" t="s">
        <v>138</v>
      </c>
      <c r="B12" s="105" t="s">
        <v>139</v>
      </c>
      <c r="C12" s="84"/>
      <c r="D12" s="84">
        <v>0</v>
      </c>
      <c r="E12" s="26"/>
      <c r="F12" s="26"/>
      <c r="G12" s="26"/>
      <c r="H12" s="26"/>
      <c r="I12" s="26"/>
      <c r="J12" s="26"/>
      <c r="K12" s="26"/>
      <c r="L12" s="26"/>
      <c r="M12" s="26"/>
      <c r="N12" s="26"/>
      <c r="O12" s="26"/>
      <c r="P12" s="26"/>
      <c r="Q12" s="26"/>
      <c r="R12" s="6"/>
      <c r="S12" s="6"/>
      <c r="T12" s="6"/>
      <c r="U12" s="6"/>
    </row>
    <row r="13" spans="1:21" ht="26.25" thickBot="1" x14ac:dyDescent="0.25">
      <c r="A13" s="102" t="s">
        <v>140</v>
      </c>
      <c r="B13" s="107" t="s">
        <v>141</v>
      </c>
      <c r="C13" s="84">
        <v>8715.9699999999993</v>
      </c>
      <c r="D13" s="84">
        <v>22061.165000000001</v>
      </c>
      <c r="E13" s="26"/>
      <c r="F13" s="26"/>
      <c r="G13" s="26"/>
      <c r="H13" s="26"/>
      <c r="I13" s="26"/>
      <c r="J13" s="26"/>
      <c r="K13" s="26"/>
      <c r="L13" s="26"/>
      <c r="M13" s="26"/>
      <c r="N13" s="26"/>
      <c r="O13" s="26"/>
      <c r="P13" s="26"/>
      <c r="Q13" s="26"/>
      <c r="R13" s="6"/>
      <c r="S13" s="6"/>
      <c r="T13" s="6"/>
      <c r="U13" s="6"/>
    </row>
    <row r="14" spans="1:21" s="3" customFormat="1" ht="16.5" thickBot="1" x14ac:dyDescent="0.3">
      <c r="A14" s="15" t="s">
        <v>61</v>
      </c>
      <c r="B14" s="15"/>
      <c r="C14" s="88">
        <f t="shared" ref="C14" si="0">SUM(C7:C13)</f>
        <v>22049.47</v>
      </c>
      <c r="D14" s="85">
        <f>SUM(D7:D13)</f>
        <v>47872.574999999997</v>
      </c>
      <c r="E14" s="25"/>
      <c r="F14" s="25"/>
      <c r="G14" s="25"/>
      <c r="H14" s="25"/>
      <c r="I14" s="25"/>
      <c r="J14" s="25"/>
      <c r="K14" s="25"/>
      <c r="L14" s="25"/>
      <c r="M14" s="25"/>
      <c r="N14" s="25"/>
      <c r="O14" s="25"/>
      <c r="P14" s="25"/>
      <c r="Q14" s="25"/>
      <c r="R14" s="2"/>
      <c r="S14" s="2"/>
      <c r="T14" s="2"/>
      <c r="U14" s="2"/>
    </row>
    <row r="15" spans="1:21" x14ac:dyDescent="0.2">
      <c r="A15" s="63"/>
      <c r="B15" s="24"/>
      <c r="C15" s="26"/>
      <c r="D15" s="26"/>
      <c r="E15" s="26"/>
      <c r="F15" s="26"/>
      <c r="G15" s="26"/>
      <c r="H15" s="26"/>
      <c r="I15" s="26"/>
      <c r="J15" s="26"/>
      <c r="K15" s="26"/>
      <c r="L15" s="26"/>
      <c r="M15" s="26"/>
      <c r="N15" s="26"/>
      <c r="O15" s="26"/>
      <c r="P15" s="26"/>
      <c r="Q15" s="26"/>
      <c r="R15" s="6"/>
      <c r="S15" s="6"/>
      <c r="T15" s="6"/>
      <c r="U15" s="6"/>
    </row>
    <row r="16" spans="1:21" x14ac:dyDescent="0.2">
      <c r="B16" s="24"/>
      <c r="C16" s="26"/>
      <c r="D16" s="26"/>
      <c r="E16" s="26"/>
      <c r="F16" s="26"/>
      <c r="G16" s="26"/>
      <c r="H16" s="26"/>
      <c r="I16" s="26"/>
      <c r="J16" s="26"/>
      <c r="K16" s="26"/>
      <c r="L16" s="26"/>
      <c r="M16" s="26"/>
      <c r="N16" s="26"/>
      <c r="O16" s="26"/>
      <c r="P16" s="26"/>
      <c r="Q16" s="26"/>
      <c r="R16" s="6"/>
      <c r="S16" s="6"/>
      <c r="T16" s="6"/>
      <c r="U16" s="6"/>
    </row>
    <row r="17" spans="1:21" ht="26.25" thickBot="1" x14ac:dyDescent="0.25">
      <c r="A17" s="122" t="s">
        <v>351</v>
      </c>
      <c r="B17" s="24"/>
      <c r="C17" s="26"/>
      <c r="D17" s="26"/>
      <c r="E17" s="26"/>
      <c r="F17" s="26"/>
      <c r="G17" s="26"/>
      <c r="H17" s="26"/>
      <c r="I17" s="26"/>
      <c r="J17" s="26"/>
      <c r="K17" s="26"/>
      <c r="L17" s="26"/>
      <c r="M17" s="26"/>
      <c r="N17" s="26"/>
      <c r="O17" s="26"/>
      <c r="P17" s="26"/>
      <c r="Q17" s="26"/>
      <c r="R17" s="6"/>
      <c r="S17" s="6"/>
      <c r="T17" s="6"/>
      <c r="U17" s="6"/>
    </row>
    <row r="18" spans="1:21" s="3" customFormat="1" ht="16.5" thickBot="1" x14ac:dyDescent="0.3">
      <c r="A18" s="13" t="s">
        <v>127</v>
      </c>
      <c r="B18" s="17" t="s">
        <v>3</v>
      </c>
      <c r="C18" s="17" t="s">
        <v>63</v>
      </c>
      <c r="D18" s="17">
        <v>2020</v>
      </c>
      <c r="E18" s="17">
        <v>2021</v>
      </c>
      <c r="F18" s="17">
        <v>2022</v>
      </c>
      <c r="G18" s="17">
        <v>2023</v>
      </c>
      <c r="H18" s="17">
        <v>2024</v>
      </c>
      <c r="I18" s="17">
        <v>2025</v>
      </c>
      <c r="J18" s="17">
        <v>2026</v>
      </c>
      <c r="K18" s="17">
        <v>2027</v>
      </c>
      <c r="L18" s="17">
        <v>2028</v>
      </c>
      <c r="M18" s="17">
        <v>2029</v>
      </c>
      <c r="N18" s="17">
        <v>2030</v>
      </c>
      <c r="O18" s="17">
        <v>2031</v>
      </c>
      <c r="P18" s="17">
        <v>2032</v>
      </c>
      <c r="Q18" s="204" t="s">
        <v>28</v>
      </c>
      <c r="R18" s="76" t="s">
        <v>64</v>
      </c>
    </row>
    <row r="19" spans="1:21" ht="41.45" customHeight="1" x14ac:dyDescent="0.25">
      <c r="A19" s="108" t="s">
        <v>142</v>
      </c>
      <c r="B19" s="105" t="s">
        <v>143</v>
      </c>
      <c r="C19" s="82">
        <v>120053.37500000004</v>
      </c>
      <c r="D19" s="90">
        <v>211061.17520000011</v>
      </c>
      <c r="E19" s="90">
        <v>217776.29000000004</v>
      </c>
      <c r="F19" s="90">
        <v>260989.43</v>
      </c>
      <c r="G19" s="90">
        <v>179000.33000000002</v>
      </c>
      <c r="H19" s="90">
        <v>190297.41</v>
      </c>
      <c r="I19" s="90">
        <v>121115</v>
      </c>
      <c r="J19" s="55"/>
      <c r="K19" s="55"/>
      <c r="L19" s="55"/>
      <c r="M19" s="55"/>
      <c r="N19" s="55"/>
      <c r="O19" s="55"/>
      <c r="P19" s="55"/>
      <c r="Q19" s="203">
        <f>SUM(C19:P19)</f>
        <v>1300293.0102000001</v>
      </c>
      <c r="R19" s="51"/>
    </row>
    <row r="20" spans="1:21" ht="38.25" x14ac:dyDescent="0.25">
      <c r="A20" s="106" t="s">
        <v>144</v>
      </c>
      <c r="B20" s="107" t="s">
        <v>145</v>
      </c>
      <c r="C20" s="82">
        <v>16305.515000000001</v>
      </c>
      <c r="D20" s="90">
        <v>61789.408300000017</v>
      </c>
      <c r="E20" s="90">
        <v>79113.972500000003</v>
      </c>
      <c r="F20" s="90">
        <v>106954.65</v>
      </c>
      <c r="G20" s="90">
        <v>104860.39</v>
      </c>
      <c r="H20" s="90">
        <v>40195.360000000001</v>
      </c>
      <c r="I20" s="90">
        <v>10847.999999999998</v>
      </c>
      <c r="J20" s="58"/>
      <c r="K20" s="58"/>
      <c r="L20" s="58"/>
      <c r="M20" s="59"/>
      <c r="N20" s="54"/>
      <c r="O20" s="54"/>
      <c r="P20" s="54"/>
      <c r="Q20" s="203">
        <f t="shared" ref="Q20:Q25" si="1">SUM(C20:P20)</f>
        <v>420067.29580000002</v>
      </c>
      <c r="R20" s="51"/>
      <c r="S20" s="27"/>
    </row>
    <row r="21" spans="1:21" ht="38.25" x14ac:dyDescent="0.25">
      <c r="A21" s="106" t="s">
        <v>146</v>
      </c>
      <c r="B21" s="105" t="s">
        <v>147</v>
      </c>
      <c r="C21" s="83">
        <v>7934.9850000000006</v>
      </c>
      <c r="D21" s="90">
        <v>115572.30750000001</v>
      </c>
      <c r="E21" s="90">
        <v>96452.76999999999</v>
      </c>
      <c r="F21" s="90">
        <v>78693.87</v>
      </c>
      <c r="G21" s="90">
        <v>67642.14</v>
      </c>
      <c r="H21" s="90">
        <v>39629.360000000001</v>
      </c>
      <c r="I21" s="90">
        <v>146.51</v>
      </c>
      <c r="J21" s="58"/>
      <c r="K21" s="58"/>
      <c r="L21" s="58"/>
      <c r="M21" s="60"/>
      <c r="N21" s="58"/>
      <c r="O21" s="58"/>
      <c r="P21" s="58"/>
      <c r="Q21" s="203">
        <f t="shared" si="1"/>
        <v>406071.9425</v>
      </c>
      <c r="R21" s="51"/>
      <c r="S21" s="27"/>
    </row>
    <row r="22" spans="1:21" ht="25.5" x14ac:dyDescent="0.25">
      <c r="A22" s="108" t="s">
        <v>148</v>
      </c>
      <c r="B22" s="130" t="s">
        <v>137</v>
      </c>
      <c r="C22" s="84">
        <v>37170.637499999997</v>
      </c>
      <c r="D22" s="90">
        <v>35630.167500000003</v>
      </c>
      <c r="E22" s="90">
        <v>27813.292500000003</v>
      </c>
      <c r="F22" s="90">
        <v>27908.710000000003</v>
      </c>
      <c r="G22" s="90">
        <v>17967.53</v>
      </c>
      <c r="H22" s="90">
        <v>10817.78</v>
      </c>
      <c r="I22" s="90">
        <v>3912.97</v>
      </c>
      <c r="J22" s="58"/>
      <c r="K22" s="58"/>
      <c r="L22" s="58"/>
      <c r="M22" s="59"/>
      <c r="N22" s="54"/>
      <c r="O22" s="54"/>
      <c r="P22" s="54"/>
      <c r="Q22" s="203">
        <f t="shared" si="1"/>
        <v>161221.08750000002</v>
      </c>
      <c r="R22" s="51"/>
      <c r="S22" s="27"/>
    </row>
    <row r="23" spans="1:21" ht="25.5" x14ac:dyDescent="0.25">
      <c r="A23" s="108" t="s">
        <v>149</v>
      </c>
      <c r="B23" s="105" t="s">
        <v>150</v>
      </c>
      <c r="C23" s="83">
        <v>5154.8600000000006</v>
      </c>
      <c r="D23" s="90">
        <v>10860.990000000002</v>
      </c>
      <c r="E23" s="90">
        <v>22621.727499999997</v>
      </c>
      <c r="F23" s="90">
        <v>18606</v>
      </c>
      <c r="G23" s="90">
        <v>5707.49</v>
      </c>
      <c r="H23" s="90">
        <v>241.01999999999998</v>
      </c>
      <c r="I23" s="90">
        <v>496.5</v>
      </c>
      <c r="J23" s="58"/>
      <c r="K23" s="58"/>
      <c r="L23" s="58"/>
      <c r="M23" s="59"/>
      <c r="N23" s="54"/>
      <c r="O23" s="54"/>
      <c r="P23" s="54"/>
      <c r="Q23" s="203">
        <f t="shared" si="1"/>
        <v>63688.587499999994</v>
      </c>
      <c r="R23" s="51"/>
      <c r="S23" s="27"/>
    </row>
    <row r="24" spans="1:21" ht="38.25" x14ac:dyDescent="0.25">
      <c r="A24" s="102" t="s">
        <v>151</v>
      </c>
      <c r="B24" s="107" t="s">
        <v>152</v>
      </c>
      <c r="C24" s="84">
        <v>46195.17</v>
      </c>
      <c r="D24" s="90">
        <v>59981.144999999997</v>
      </c>
      <c r="E24" s="90">
        <v>68001.6875</v>
      </c>
      <c r="F24" s="90">
        <v>56136.37</v>
      </c>
      <c r="G24" s="90">
        <v>67401.09</v>
      </c>
      <c r="H24" s="90">
        <v>27437.000000000004</v>
      </c>
      <c r="I24" s="90">
        <v>10599.87</v>
      </c>
      <c r="J24" s="58"/>
      <c r="K24" s="58"/>
      <c r="L24" s="58"/>
      <c r="M24" s="60"/>
      <c r="N24" s="58"/>
      <c r="O24" s="58"/>
      <c r="P24" s="58"/>
      <c r="Q24" s="203">
        <f t="shared" si="1"/>
        <v>335752.33250000002</v>
      </c>
      <c r="R24" s="51"/>
      <c r="S24" s="27"/>
    </row>
    <row r="25" spans="1:21" ht="26.25" thickBot="1" x14ac:dyDescent="0.3">
      <c r="A25" s="108" t="s">
        <v>153</v>
      </c>
      <c r="B25" s="105" t="s">
        <v>154</v>
      </c>
      <c r="C25" s="84">
        <v>1340.0900000000001</v>
      </c>
      <c r="D25" s="90">
        <v>2431.5149999999999</v>
      </c>
      <c r="E25" s="90">
        <v>455.58000000000004</v>
      </c>
      <c r="F25" s="90">
        <v>3610.67</v>
      </c>
      <c r="G25" s="90">
        <v>448.79</v>
      </c>
      <c r="H25" s="90">
        <v>3002.83</v>
      </c>
      <c r="I25" s="90">
        <v>0</v>
      </c>
      <c r="J25" s="58"/>
      <c r="K25" s="58"/>
      <c r="L25" s="58"/>
      <c r="M25" s="60"/>
      <c r="N25" s="58"/>
      <c r="O25" s="58"/>
      <c r="P25" s="58"/>
      <c r="Q25" s="203">
        <f t="shared" si="1"/>
        <v>11289.475</v>
      </c>
      <c r="R25" s="131"/>
      <c r="S25" s="27"/>
    </row>
    <row r="26" spans="1:21" s="3" customFormat="1" ht="16.5" thickBot="1" x14ac:dyDescent="0.3">
      <c r="A26" s="15" t="s">
        <v>155</v>
      </c>
      <c r="B26" s="15"/>
      <c r="C26" s="85">
        <f t="shared" ref="C26:P26" si="2">SUM(C19:C25)</f>
        <v>234154.63250000004</v>
      </c>
      <c r="D26" s="149">
        <f t="shared" si="2"/>
        <v>497326.70850000012</v>
      </c>
      <c r="E26" s="16">
        <f t="shared" si="2"/>
        <v>512235.32000000007</v>
      </c>
      <c r="F26" s="16">
        <f t="shared" si="2"/>
        <v>552899.70000000007</v>
      </c>
      <c r="G26" s="16">
        <f t="shared" si="2"/>
        <v>443027.75999999995</v>
      </c>
      <c r="H26" s="16">
        <f t="shared" si="2"/>
        <v>311620.76000000007</v>
      </c>
      <c r="I26" s="16">
        <f t="shared" si="2"/>
        <v>147118.85</v>
      </c>
      <c r="J26" s="16">
        <f t="shared" si="2"/>
        <v>0</v>
      </c>
      <c r="K26" s="16">
        <f t="shared" si="2"/>
        <v>0</v>
      </c>
      <c r="L26" s="16">
        <f t="shared" si="2"/>
        <v>0</v>
      </c>
      <c r="M26" s="16">
        <f t="shared" si="2"/>
        <v>0</v>
      </c>
      <c r="N26" s="16">
        <f t="shared" si="2"/>
        <v>0</v>
      </c>
      <c r="O26" s="16">
        <f t="shared" si="2"/>
        <v>0</v>
      </c>
      <c r="P26" s="16">
        <f t="shared" si="2"/>
        <v>0</v>
      </c>
      <c r="Q26" s="77">
        <f>SUM(C26:P26)+C14+D14</f>
        <v>2768305.776000001</v>
      </c>
      <c r="R26" s="135" t="s">
        <v>87</v>
      </c>
    </row>
    <row r="27" spans="1:21" x14ac:dyDescent="0.2">
      <c r="C27" s="26"/>
      <c r="D27" s="26"/>
      <c r="E27" s="26"/>
      <c r="F27" s="26"/>
      <c r="G27" s="26"/>
      <c r="H27" s="26"/>
      <c r="I27" s="26"/>
      <c r="J27" s="26"/>
      <c r="L27" s="26"/>
      <c r="M27" s="26"/>
      <c r="N27" s="26"/>
      <c r="O27" s="26"/>
      <c r="P27" s="26"/>
      <c r="Q27" s="26"/>
    </row>
    <row r="28" spans="1:21" ht="104.25" customHeight="1" x14ac:dyDescent="0.2">
      <c r="A28" s="121" t="s">
        <v>156</v>
      </c>
    </row>
    <row r="34" s="39" customFormat="1" x14ac:dyDescent="0.2"/>
    <row r="35" s="39" customFormat="1" x14ac:dyDescent="0.2"/>
    <row r="36" s="39" customFormat="1" x14ac:dyDescent="0.2"/>
    <row r="37" s="39" customFormat="1" x14ac:dyDescent="0.2"/>
    <row r="38" s="39" customFormat="1" x14ac:dyDescent="0.2"/>
    <row r="39" s="39" customFormat="1" x14ac:dyDescent="0.2"/>
    <row r="40" s="39" customFormat="1" x14ac:dyDescent="0.2"/>
    <row r="41" s="39" customFormat="1" x14ac:dyDescent="0.2"/>
    <row r="42" s="39" customFormat="1" x14ac:dyDescent="0.2"/>
    <row r="43" s="39" customFormat="1" x14ac:dyDescent="0.2"/>
    <row r="44" s="39" customFormat="1" x14ac:dyDescent="0.2"/>
    <row r="45" s="39" customFormat="1" x14ac:dyDescent="0.2"/>
    <row r="46" s="39" customFormat="1" x14ac:dyDescent="0.2"/>
    <row r="47" s="39" customFormat="1" x14ac:dyDescent="0.2"/>
    <row r="48" s="39" customFormat="1" x14ac:dyDescent="0.2"/>
    <row r="49" s="39" customFormat="1" x14ac:dyDescent="0.2"/>
    <row r="50" s="39" customFormat="1" x14ac:dyDescent="0.2"/>
    <row r="51" s="39" customFormat="1" x14ac:dyDescent="0.2"/>
    <row r="52" s="39" customFormat="1" x14ac:dyDescent="0.2"/>
    <row r="53" s="39" customFormat="1" x14ac:dyDescent="0.2"/>
    <row r="55" s="39" customFormat="1" x14ac:dyDescent="0.2"/>
    <row r="56" s="39" customFormat="1" x14ac:dyDescent="0.2"/>
    <row r="57" s="39" customFormat="1" x14ac:dyDescent="0.2"/>
    <row r="58" s="39" customFormat="1" x14ac:dyDescent="0.2"/>
    <row r="59" s="39" customFormat="1" x14ac:dyDescent="0.2"/>
    <row r="60" s="39" customFormat="1" x14ac:dyDescent="0.2"/>
    <row r="61" s="39" customFormat="1" x14ac:dyDescent="0.2"/>
    <row r="62" s="39" customFormat="1" x14ac:dyDescent="0.2"/>
  </sheetData>
  <sheetProtection algorithmName="SHA-512" hashValue="UOyqsSmIEEof0zIarE9Fw40EnT6wxqgAF8NdWJEG+PdHijD9o5Kbw9Vh848uC1ZNIRafo+OXd/AML7tl5anI6w==" saltValue="5uj7O0yGHSjvTBU8oL8Cw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V47"/>
  <sheetViews>
    <sheetView zoomScale="80" zoomScaleNormal="80" workbookViewId="0">
      <pane xSplit="1" topLeftCell="B1" activePane="topRight" state="frozen"/>
      <selection pane="topRight" activeCell="J9" sqref="J9"/>
    </sheetView>
  </sheetViews>
  <sheetFormatPr defaultColWidth="9.140625" defaultRowHeight="12.75" x14ac:dyDescent="0.2"/>
  <cols>
    <col min="1" max="1" width="64.5703125" style="39" bestFit="1" customWidth="1"/>
    <col min="2" max="2" width="27.85546875" style="39" customWidth="1"/>
    <col min="3" max="18" width="22" style="41" customWidth="1"/>
    <col min="19" max="19" width="45.85546875" style="39" customWidth="1"/>
    <col min="20" max="20" width="11.140625" style="39" customWidth="1"/>
    <col min="21" max="21" width="11.5703125" style="39" customWidth="1"/>
    <col min="22" max="22" width="13.42578125" style="39" customWidth="1"/>
    <col min="23" max="23" width="11.42578125" style="39" bestFit="1" customWidth="1"/>
    <col min="24" max="16384" width="9.140625" style="39"/>
  </cols>
  <sheetData>
    <row r="1" spans="1:22" s="6" customFormat="1" ht="15.75" x14ac:dyDescent="0.25">
      <c r="A1" s="128" t="str">
        <f>'1. Expenditures'!A1</f>
        <v>SOMAH Program Administrator</v>
      </c>
      <c r="C1" s="26"/>
      <c r="D1" s="26"/>
      <c r="E1" s="26"/>
      <c r="F1" s="26"/>
      <c r="G1" s="26"/>
      <c r="H1" s="26"/>
      <c r="I1" s="26"/>
      <c r="J1" s="26"/>
      <c r="K1" s="26"/>
      <c r="L1" s="26"/>
      <c r="M1" s="26"/>
      <c r="N1" s="26"/>
      <c r="O1" s="26"/>
      <c r="P1" s="26"/>
      <c r="Q1" s="26"/>
      <c r="R1" s="26"/>
    </row>
    <row r="2" spans="1:22" x14ac:dyDescent="0.2">
      <c r="A2" s="182" t="str">
        <f>'1. Expenditures'!A2</f>
        <v>Reporting Date: July 31, 2025</v>
      </c>
      <c r="B2" s="6"/>
      <c r="C2" s="26"/>
      <c r="D2" s="26"/>
      <c r="E2" s="26"/>
      <c r="F2" s="26"/>
      <c r="G2" s="26"/>
      <c r="H2" s="26"/>
      <c r="I2" s="26"/>
      <c r="J2" s="26"/>
      <c r="K2" s="26"/>
      <c r="L2" s="26"/>
      <c r="M2" s="26"/>
      <c r="N2" s="26"/>
      <c r="O2" s="26"/>
      <c r="P2" s="26"/>
      <c r="Q2" s="26"/>
      <c r="R2" s="26"/>
      <c r="S2" s="6"/>
      <c r="T2" s="6"/>
      <c r="U2" s="6"/>
      <c r="V2" s="6"/>
    </row>
    <row r="3" spans="1:22" x14ac:dyDescent="0.2">
      <c r="A3" s="181" t="str">
        <f>'1. Expenditures'!A3</f>
        <v>Reporting Data Through: June 30, 2025</v>
      </c>
      <c r="B3" s="24"/>
      <c r="C3" s="26"/>
      <c r="D3" s="26"/>
      <c r="E3" s="26"/>
      <c r="F3" s="26"/>
      <c r="G3" s="26"/>
      <c r="H3" s="26"/>
      <c r="I3" s="26"/>
      <c r="J3" s="26"/>
      <c r="K3" s="26"/>
      <c r="L3" s="26"/>
      <c r="M3" s="26"/>
      <c r="N3" s="26"/>
      <c r="O3" s="26"/>
      <c r="P3" s="26"/>
      <c r="Q3" s="26"/>
      <c r="R3" s="26"/>
      <c r="S3" s="6"/>
      <c r="T3" s="6"/>
      <c r="U3" s="6"/>
      <c r="V3" s="6"/>
    </row>
    <row r="4" spans="1:22" x14ac:dyDescent="0.2">
      <c r="A4" s="23"/>
      <c r="B4" s="24"/>
      <c r="C4" s="26"/>
      <c r="D4" s="26"/>
      <c r="E4" s="26"/>
      <c r="F4" s="26"/>
      <c r="G4" s="26"/>
      <c r="H4" s="26"/>
      <c r="I4" s="26"/>
      <c r="J4" s="26"/>
      <c r="K4" s="26"/>
      <c r="L4" s="26"/>
      <c r="M4" s="26"/>
      <c r="N4" s="26"/>
      <c r="O4" s="26"/>
      <c r="P4" s="26"/>
      <c r="Q4" s="26"/>
      <c r="R4" s="26"/>
      <c r="S4" s="6"/>
      <c r="T4" s="6"/>
      <c r="U4" s="6"/>
      <c r="V4" s="6"/>
    </row>
    <row r="5" spans="1:22" ht="13.5" thickBot="1" x14ac:dyDescent="0.25">
      <c r="A5" s="23" t="s">
        <v>157</v>
      </c>
      <c r="B5" s="24"/>
      <c r="C5" s="26"/>
      <c r="D5" s="26"/>
      <c r="E5" s="26"/>
      <c r="F5" s="26"/>
      <c r="G5" s="26"/>
      <c r="H5" s="26"/>
      <c r="I5" s="26"/>
      <c r="J5" s="26"/>
      <c r="K5" s="26"/>
      <c r="L5" s="26"/>
      <c r="M5" s="26"/>
      <c r="N5" s="26"/>
      <c r="O5" s="26"/>
      <c r="P5" s="26"/>
      <c r="Q5" s="26"/>
      <c r="R5" s="26"/>
      <c r="S5" s="6"/>
      <c r="T5" s="6"/>
      <c r="U5" s="6"/>
      <c r="V5" s="6"/>
    </row>
    <row r="6" spans="1:22" s="3" customFormat="1" ht="16.5" thickBot="1" x14ac:dyDescent="0.3">
      <c r="A6" s="13" t="s">
        <v>158</v>
      </c>
      <c r="B6" s="17" t="s">
        <v>3</v>
      </c>
      <c r="C6" s="17">
        <v>2018</v>
      </c>
      <c r="D6" s="17">
        <v>2019</v>
      </c>
      <c r="E6" s="17">
        <v>2020</v>
      </c>
      <c r="F6" s="17">
        <v>2021</v>
      </c>
      <c r="G6" s="17">
        <v>2022</v>
      </c>
      <c r="H6" s="17">
        <v>2023</v>
      </c>
      <c r="I6" s="17">
        <v>2024</v>
      </c>
      <c r="J6" s="17">
        <v>2025</v>
      </c>
      <c r="K6" s="17">
        <v>2026</v>
      </c>
      <c r="L6" s="17">
        <v>2027</v>
      </c>
      <c r="M6" s="17">
        <v>2028</v>
      </c>
      <c r="N6" s="17">
        <v>2029</v>
      </c>
      <c r="O6" s="17">
        <v>2030</v>
      </c>
      <c r="P6" s="17">
        <v>2031</v>
      </c>
      <c r="Q6" s="17">
        <v>2032</v>
      </c>
      <c r="R6" s="18" t="s">
        <v>28</v>
      </c>
      <c r="S6" s="14" t="s">
        <v>64</v>
      </c>
    </row>
    <row r="7" spans="1:22" ht="25.5" customHeight="1" x14ac:dyDescent="0.25">
      <c r="A7" s="102" t="s">
        <v>159</v>
      </c>
      <c r="B7" s="109" t="s">
        <v>160</v>
      </c>
      <c r="C7" s="57">
        <v>0</v>
      </c>
      <c r="D7" s="84">
        <v>24053.217500000002</v>
      </c>
      <c r="E7" s="90">
        <v>5759.9400000000005</v>
      </c>
      <c r="F7" s="90">
        <v>9410.7274999999991</v>
      </c>
      <c r="G7" s="90">
        <v>23777.971217499999</v>
      </c>
      <c r="H7" s="90">
        <v>18075.584999999999</v>
      </c>
      <c r="I7" s="90">
        <v>25095.172500000001</v>
      </c>
      <c r="J7" s="90">
        <v>17369.93</v>
      </c>
      <c r="K7" s="58"/>
      <c r="L7" s="60"/>
      <c r="M7" s="58"/>
      <c r="N7" s="58"/>
      <c r="O7" s="58"/>
      <c r="P7" s="58"/>
      <c r="Q7" s="58"/>
      <c r="R7" s="11">
        <f>SUM(C7:Q7)</f>
        <v>123542.5437175</v>
      </c>
      <c r="S7" s="51"/>
      <c r="T7" s="27"/>
    </row>
    <row r="8" spans="1:22" ht="64.5" customHeight="1" x14ac:dyDescent="0.25">
      <c r="A8" s="102" t="s">
        <v>161</v>
      </c>
      <c r="B8" s="109" t="s">
        <v>162</v>
      </c>
      <c r="C8" s="57">
        <v>0</v>
      </c>
      <c r="D8" s="83">
        <v>188624.61000000002</v>
      </c>
      <c r="E8" s="90">
        <v>151267.528743</v>
      </c>
      <c r="F8" s="90">
        <v>174217.03090000004</v>
      </c>
      <c r="G8" s="90">
        <v>212405.28621749999</v>
      </c>
      <c r="H8" s="90">
        <v>278811.15000000002</v>
      </c>
      <c r="I8" s="90">
        <v>376871.1</v>
      </c>
      <c r="J8" s="90">
        <v>268441.29000000004</v>
      </c>
      <c r="K8" s="58"/>
      <c r="L8" s="60"/>
      <c r="M8" s="58"/>
      <c r="N8" s="58"/>
      <c r="O8" s="58"/>
      <c r="P8" s="58"/>
      <c r="Q8" s="58"/>
      <c r="R8" s="11">
        <f t="shared" ref="R8:R10" si="0">SUM(C8:Q8)</f>
        <v>1650637.9958605</v>
      </c>
      <c r="S8" s="51"/>
      <c r="T8" s="27"/>
    </row>
    <row r="9" spans="1:22" ht="89.25" customHeight="1" x14ac:dyDescent="0.25">
      <c r="A9" s="102" t="s">
        <v>163</v>
      </c>
      <c r="B9" s="109" t="s">
        <v>164</v>
      </c>
      <c r="C9" s="57">
        <v>0</v>
      </c>
      <c r="D9" s="83">
        <v>1534.3200000000002</v>
      </c>
      <c r="E9" s="90">
        <v>694.58999999999992</v>
      </c>
      <c r="F9" s="90">
        <v>647.29</v>
      </c>
      <c r="G9" s="90">
        <v>225065.13</v>
      </c>
      <c r="H9" s="90">
        <v>134405.935</v>
      </c>
      <c r="I9" s="90">
        <v>97650.294999999984</v>
      </c>
      <c r="J9" s="90">
        <v>52698.99</v>
      </c>
      <c r="K9" s="58"/>
      <c r="L9" s="60"/>
      <c r="M9" s="58"/>
      <c r="N9" s="58"/>
      <c r="O9" s="58"/>
      <c r="P9" s="58"/>
      <c r="Q9" s="58"/>
      <c r="R9" s="11">
        <f t="shared" si="0"/>
        <v>512696.55</v>
      </c>
      <c r="S9" s="51"/>
      <c r="T9" s="27"/>
    </row>
    <row r="10" spans="1:22" ht="66.75" customHeight="1" thickBot="1" x14ac:dyDescent="0.3">
      <c r="A10" s="102" t="s">
        <v>165</v>
      </c>
      <c r="B10" s="109" t="s">
        <v>166</v>
      </c>
      <c r="C10" s="57">
        <v>0</v>
      </c>
      <c r="D10" s="183">
        <v>18728.497499999998</v>
      </c>
      <c r="E10" s="90">
        <v>28872.182500000003</v>
      </c>
      <c r="F10" s="90">
        <v>46763.915000000001</v>
      </c>
      <c r="G10" s="90">
        <v>32807.214999999997</v>
      </c>
      <c r="H10" s="90">
        <v>15857.094999999999</v>
      </c>
      <c r="I10" s="90">
        <v>33013.507499999992</v>
      </c>
      <c r="J10" s="90">
        <v>15770.140000000001</v>
      </c>
      <c r="K10" s="60"/>
      <c r="L10" s="60"/>
      <c r="M10" s="60"/>
      <c r="N10" s="60"/>
      <c r="O10" s="60"/>
      <c r="P10" s="58"/>
      <c r="Q10" s="58"/>
      <c r="R10" s="11">
        <f t="shared" si="0"/>
        <v>191812.55249999999</v>
      </c>
      <c r="S10" s="184"/>
    </row>
    <row r="11" spans="1:22" s="3" customFormat="1" ht="16.5" thickBot="1" x14ac:dyDescent="0.3">
      <c r="A11" s="46" t="s">
        <v>167</v>
      </c>
      <c r="B11" s="15"/>
      <c r="C11" s="16">
        <f t="shared" ref="C11:Q11" si="1">SUM(C7:C10)</f>
        <v>0</v>
      </c>
      <c r="D11" s="85">
        <f t="shared" si="1"/>
        <v>232940.64500000002</v>
      </c>
      <c r="E11" s="149">
        <f t="shared" si="1"/>
        <v>186594.241243</v>
      </c>
      <c r="F11" s="16">
        <f t="shared" si="1"/>
        <v>231038.96340000007</v>
      </c>
      <c r="G11" s="16">
        <f t="shared" si="1"/>
        <v>494055.60243500001</v>
      </c>
      <c r="H11" s="16">
        <f t="shared" si="1"/>
        <v>447149.76500000001</v>
      </c>
      <c r="I11" s="16">
        <f t="shared" si="1"/>
        <v>532630.07499999995</v>
      </c>
      <c r="J11" s="16">
        <f t="shared" si="1"/>
        <v>354280.35000000003</v>
      </c>
      <c r="K11" s="16">
        <f t="shared" si="1"/>
        <v>0</v>
      </c>
      <c r="L11" s="16">
        <f t="shared" si="1"/>
        <v>0</v>
      </c>
      <c r="M11" s="16">
        <f t="shared" si="1"/>
        <v>0</v>
      </c>
      <c r="N11" s="16">
        <f t="shared" si="1"/>
        <v>0</v>
      </c>
      <c r="O11" s="16">
        <f t="shared" si="1"/>
        <v>0</v>
      </c>
      <c r="P11" s="16">
        <f t="shared" si="1"/>
        <v>0</v>
      </c>
      <c r="Q11" s="16">
        <f t="shared" si="1"/>
        <v>0</v>
      </c>
      <c r="R11" s="78">
        <f>SUM(C11:Q11)</f>
        <v>2478689.6420780006</v>
      </c>
      <c r="S11" s="14"/>
    </row>
    <row r="12" spans="1:22" x14ac:dyDescent="0.2">
      <c r="D12" s="26"/>
      <c r="E12" s="26"/>
      <c r="K12" s="26"/>
      <c r="L12" s="26"/>
      <c r="M12" s="26"/>
      <c r="N12" s="26"/>
      <c r="O12" s="26"/>
      <c r="P12" s="26"/>
      <c r="Q12" s="26"/>
      <c r="R12" s="26"/>
    </row>
    <row r="17" spans="3:18" x14ac:dyDescent="0.2">
      <c r="D17" s="139"/>
    </row>
    <row r="19" spans="3:18" x14ac:dyDescent="0.2">
      <c r="C19" s="39"/>
      <c r="D19" s="39"/>
      <c r="E19" s="39"/>
      <c r="F19" s="39"/>
      <c r="G19" s="39"/>
      <c r="H19" s="39"/>
      <c r="I19" s="39"/>
      <c r="J19" s="39"/>
      <c r="K19" s="39"/>
      <c r="L19" s="39"/>
      <c r="M19" s="39"/>
      <c r="N19" s="39"/>
      <c r="O19" s="39"/>
      <c r="P19" s="39"/>
      <c r="Q19" s="39"/>
      <c r="R19" s="39"/>
    </row>
    <row r="20" spans="3:18" x14ac:dyDescent="0.2">
      <c r="C20" s="39"/>
      <c r="D20" s="39"/>
      <c r="E20" s="39"/>
      <c r="F20" s="39"/>
      <c r="G20" s="39"/>
      <c r="H20" s="39"/>
      <c r="I20" s="39"/>
      <c r="J20" s="39"/>
      <c r="K20" s="39"/>
      <c r="L20" s="39"/>
      <c r="M20" s="39"/>
      <c r="N20" s="39"/>
      <c r="O20" s="39"/>
      <c r="P20" s="39"/>
      <c r="Q20" s="39"/>
      <c r="R20" s="39"/>
    </row>
    <row r="21" spans="3:18" x14ac:dyDescent="0.2">
      <c r="C21" s="39"/>
      <c r="D21" s="39"/>
      <c r="E21" s="39"/>
      <c r="F21" s="39"/>
      <c r="G21" s="39"/>
      <c r="H21" s="39"/>
      <c r="I21" s="39"/>
      <c r="J21" s="39"/>
      <c r="K21" s="39"/>
      <c r="L21" s="39"/>
      <c r="M21" s="39"/>
      <c r="N21" s="39"/>
      <c r="O21" s="39"/>
      <c r="P21" s="39"/>
      <c r="Q21" s="39"/>
      <c r="R21" s="39"/>
    </row>
    <row r="22" spans="3:18" x14ac:dyDescent="0.2">
      <c r="C22" s="39"/>
      <c r="D22" s="39"/>
      <c r="E22" s="39"/>
      <c r="F22" s="39"/>
      <c r="G22" s="39"/>
      <c r="H22" s="39"/>
      <c r="I22" s="39"/>
      <c r="J22" s="39"/>
      <c r="K22" s="39"/>
      <c r="L22" s="39"/>
      <c r="M22" s="39"/>
      <c r="N22" s="39"/>
      <c r="O22" s="39"/>
      <c r="P22" s="39"/>
      <c r="Q22" s="39"/>
      <c r="R22" s="39"/>
    </row>
    <row r="23" spans="3:18" x14ac:dyDescent="0.2">
      <c r="C23" s="39"/>
      <c r="D23" s="39"/>
      <c r="E23" s="39"/>
      <c r="F23" s="39"/>
      <c r="G23" s="39"/>
      <c r="H23" s="39"/>
      <c r="I23" s="39"/>
      <c r="J23" s="39"/>
      <c r="K23" s="39"/>
      <c r="L23" s="39"/>
      <c r="M23" s="39"/>
      <c r="N23" s="39"/>
      <c r="O23" s="39"/>
      <c r="P23" s="39"/>
      <c r="Q23" s="39"/>
      <c r="R23" s="39"/>
    </row>
    <row r="24" spans="3:18" x14ac:dyDescent="0.2">
      <c r="C24" s="39"/>
      <c r="D24" s="39"/>
      <c r="E24" s="39"/>
      <c r="F24" s="39"/>
      <c r="G24" s="39"/>
      <c r="H24" s="39"/>
      <c r="I24" s="39"/>
      <c r="J24" s="39"/>
      <c r="K24" s="39"/>
      <c r="L24" s="39"/>
      <c r="M24" s="39"/>
      <c r="N24" s="39"/>
      <c r="O24" s="39"/>
      <c r="P24" s="39"/>
      <c r="Q24" s="39"/>
      <c r="R24" s="39"/>
    </row>
    <row r="25" spans="3:18" x14ac:dyDescent="0.2">
      <c r="C25" s="39"/>
      <c r="D25" s="39"/>
      <c r="E25" s="39"/>
      <c r="F25" s="39"/>
      <c r="G25" s="39"/>
      <c r="H25" s="39"/>
      <c r="I25" s="39"/>
      <c r="J25" s="39"/>
      <c r="K25" s="39"/>
      <c r="L25" s="39"/>
      <c r="M25" s="39"/>
      <c r="N25" s="39"/>
      <c r="O25" s="39"/>
      <c r="P25" s="39"/>
      <c r="Q25" s="39"/>
      <c r="R25" s="39"/>
    </row>
    <row r="26" spans="3:18" x14ac:dyDescent="0.2">
      <c r="C26" s="39"/>
      <c r="D26" s="39"/>
      <c r="E26" s="39"/>
      <c r="F26" s="39"/>
      <c r="G26" s="39"/>
      <c r="H26" s="39"/>
      <c r="I26" s="39"/>
      <c r="J26" s="39"/>
      <c r="K26" s="39"/>
      <c r="L26" s="39"/>
      <c r="M26" s="39"/>
      <c r="N26" s="39"/>
      <c r="O26" s="39"/>
      <c r="P26" s="39"/>
      <c r="Q26" s="39"/>
      <c r="R26" s="39"/>
    </row>
    <row r="27" spans="3:18" x14ac:dyDescent="0.2">
      <c r="C27" s="39"/>
      <c r="D27" s="39"/>
      <c r="E27" s="39"/>
      <c r="F27" s="39"/>
      <c r="G27" s="39"/>
      <c r="H27" s="39"/>
      <c r="I27" s="39"/>
      <c r="J27" s="39"/>
      <c r="K27" s="39"/>
      <c r="L27" s="39"/>
      <c r="M27" s="39"/>
      <c r="N27" s="39"/>
      <c r="O27" s="39"/>
      <c r="P27" s="39"/>
      <c r="Q27" s="39"/>
      <c r="R27" s="39"/>
    </row>
    <row r="28" spans="3:18" x14ac:dyDescent="0.2">
      <c r="C28" s="39"/>
      <c r="D28" s="39"/>
      <c r="E28" s="39"/>
      <c r="F28" s="39"/>
      <c r="G28" s="39"/>
      <c r="H28" s="39"/>
      <c r="I28" s="39"/>
      <c r="J28" s="39"/>
      <c r="K28" s="39"/>
      <c r="L28" s="39"/>
      <c r="M28" s="39"/>
      <c r="N28" s="39"/>
      <c r="O28" s="39"/>
      <c r="P28" s="39"/>
      <c r="Q28" s="39"/>
      <c r="R28" s="39"/>
    </row>
    <row r="29" spans="3:18" x14ac:dyDescent="0.2">
      <c r="C29" s="39"/>
      <c r="D29" s="39"/>
      <c r="E29" s="39"/>
      <c r="F29" s="39"/>
      <c r="G29" s="39"/>
      <c r="H29" s="39"/>
      <c r="I29" s="39"/>
      <c r="J29" s="39"/>
      <c r="K29" s="39"/>
      <c r="L29" s="39"/>
      <c r="M29" s="39"/>
      <c r="N29" s="39"/>
      <c r="O29" s="39"/>
      <c r="P29" s="39"/>
      <c r="Q29" s="39"/>
      <c r="R29" s="39"/>
    </row>
    <row r="30" spans="3:18" x14ac:dyDescent="0.2">
      <c r="C30" s="39"/>
      <c r="D30" s="39"/>
      <c r="E30" s="39"/>
      <c r="F30" s="39"/>
      <c r="G30" s="39"/>
      <c r="H30" s="39"/>
      <c r="I30" s="39"/>
      <c r="J30" s="39"/>
      <c r="K30" s="39"/>
      <c r="L30" s="39"/>
      <c r="M30" s="39"/>
      <c r="N30" s="39"/>
      <c r="O30" s="39"/>
      <c r="P30" s="39"/>
      <c r="Q30" s="39"/>
      <c r="R30" s="39"/>
    </row>
    <row r="31" spans="3:18" x14ac:dyDescent="0.2">
      <c r="C31" s="39"/>
      <c r="D31" s="39"/>
      <c r="E31" s="39"/>
      <c r="F31" s="39"/>
      <c r="G31" s="39"/>
      <c r="H31" s="39"/>
      <c r="I31" s="39"/>
      <c r="J31" s="39"/>
      <c r="K31" s="39"/>
      <c r="L31" s="39"/>
      <c r="M31" s="39"/>
      <c r="N31" s="39"/>
      <c r="O31" s="39"/>
      <c r="P31" s="39"/>
      <c r="Q31" s="39"/>
      <c r="R31" s="39"/>
    </row>
    <row r="32" spans="3:18" x14ac:dyDescent="0.2">
      <c r="C32" s="39"/>
      <c r="D32" s="39"/>
      <c r="E32" s="39"/>
      <c r="F32" s="39"/>
      <c r="G32" s="39"/>
      <c r="H32" s="39"/>
      <c r="I32" s="39"/>
      <c r="J32" s="39"/>
      <c r="K32" s="39"/>
      <c r="L32" s="39"/>
      <c r="M32" s="39"/>
      <c r="N32" s="39"/>
      <c r="O32" s="39"/>
      <c r="P32" s="39"/>
      <c r="Q32" s="39"/>
      <c r="R32" s="39"/>
    </row>
    <row r="33" s="39" customFormat="1" x14ac:dyDescent="0.2"/>
    <row r="34" s="39" customFormat="1" x14ac:dyDescent="0.2"/>
    <row r="35" s="39" customFormat="1" x14ac:dyDescent="0.2"/>
    <row r="36" s="39" customFormat="1" x14ac:dyDescent="0.2"/>
    <row r="37" s="39" customFormat="1" x14ac:dyDescent="0.2"/>
    <row r="38" s="39" customFormat="1" x14ac:dyDescent="0.2"/>
    <row r="40" s="39" customFormat="1" x14ac:dyDescent="0.2"/>
    <row r="41" s="39" customFormat="1" x14ac:dyDescent="0.2"/>
    <row r="42" s="39" customFormat="1" x14ac:dyDescent="0.2"/>
    <row r="43" s="39" customFormat="1" x14ac:dyDescent="0.2"/>
    <row r="44" s="39" customFormat="1" x14ac:dyDescent="0.2"/>
    <row r="45" s="39" customFormat="1" x14ac:dyDescent="0.2"/>
    <row r="46" s="39" customFormat="1" x14ac:dyDescent="0.2"/>
    <row r="47" s="39" customFormat="1" x14ac:dyDescent="0.2"/>
  </sheetData>
  <sheetProtection algorithmName="SHA-512" hashValue="r76+qpDdQ83Ls+kekRpODwVAzbg24T3sfOzou9Brwtqk2sr13zTWrjHUylCDPhMY3eEyT2r5D/jOEzFtwjnlAw==" saltValue="67vdPYLZYzLcV4mKfQmZcg=="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F2ED-E172-4CEA-A8AF-59B51E7B6250}">
  <sheetPr>
    <tabColor theme="4"/>
  </sheetPr>
  <dimension ref="A1:BC40"/>
  <sheetViews>
    <sheetView topLeftCell="A3" zoomScale="90" zoomScaleNormal="90" workbookViewId="0">
      <pane xSplit="1" topLeftCell="U1" activePane="topRight" state="frozen"/>
      <selection pane="topRight" activeCell="AD25" sqref="AD25"/>
    </sheetView>
  </sheetViews>
  <sheetFormatPr defaultRowHeight="15" x14ac:dyDescent="0.25"/>
  <cols>
    <col min="1" max="1" width="43.140625" customWidth="1"/>
    <col min="2" max="11" width="15.42578125" customWidth="1"/>
    <col min="12" max="12" width="16.85546875" bestFit="1" customWidth="1"/>
    <col min="13" max="13" width="16.5703125" customWidth="1"/>
    <col min="14" max="14" width="16.85546875" bestFit="1" customWidth="1"/>
    <col min="15" max="35" width="15.42578125" customWidth="1"/>
    <col min="36" max="54" width="15.42578125" hidden="1" customWidth="1"/>
    <col min="55" max="55" width="18" customWidth="1"/>
  </cols>
  <sheetData>
    <row r="1" spans="1:55" ht="15.75" x14ac:dyDescent="0.25">
      <c r="A1" s="129" t="str">
        <f>'1. Expenditures'!A1</f>
        <v>SOMAH Program Administrator</v>
      </c>
    </row>
    <row r="2" spans="1:55" x14ac:dyDescent="0.25">
      <c r="A2" s="63" t="str">
        <f>'1. Expenditures'!A2</f>
        <v>Reporting Date: July 31, 2025</v>
      </c>
    </row>
    <row r="3" spans="1:55" x14ac:dyDescent="0.25">
      <c r="A3" s="63" t="str">
        <f>'1. Expenditures'!A3</f>
        <v>Reporting Data Through: June 30, 2025</v>
      </c>
    </row>
    <row r="5" spans="1:55" ht="15.75" thickBot="1" x14ac:dyDescent="0.3">
      <c r="A5" s="23" t="s">
        <v>168</v>
      </c>
    </row>
    <row r="6" spans="1:55" s="39" customFormat="1" ht="13.5" thickBot="1" x14ac:dyDescent="0.25">
      <c r="A6" s="40" t="s">
        <v>169</v>
      </c>
      <c r="B6" s="72" t="s">
        <v>170</v>
      </c>
      <c r="C6" s="73" t="s">
        <v>171</v>
      </c>
      <c r="D6" s="73" t="s">
        <v>172</v>
      </c>
      <c r="E6" s="73" t="s">
        <v>173</v>
      </c>
      <c r="F6" s="73" t="s">
        <v>174</v>
      </c>
      <c r="G6" s="72" t="s">
        <v>175</v>
      </c>
      <c r="H6" s="72" t="s">
        <v>176</v>
      </c>
      <c r="I6" s="72" t="s">
        <v>177</v>
      </c>
      <c r="J6" s="72" t="s">
        <v>178</v>
      </c>
      <c r="K6" s="73" t="s">
        <v>179</v>
      </c>
      <c r="L6" s="73" t="s">
        <v>180</v>
      </c>
      <c r="M6" s="73" t="s">
        <v>181</v>
      </c>
      <c r="N6" s="73" t="s">
        <v>182</v>
      </c>
      <c r="O6" s="72" t="s">
        <v>183</v>
      </c>
      <c r="P6" s="72" t="s">
        <v>184</v>
      </c>
      <c r="Q6" s="72" t="s">
        <v>185</v>
      </c>
      <c r="R6" s="72" t="s">
        <v>186</v>
      </c>
      <c r="S6" s="73" t="s">
        <v>187</v>
      </c>
      <c r="T6" s="73" t="s">
        <v>188</v>
      </c>
      <c r="U6" s="73" t="s">
        <v>189</v>
      </c>
      <c r="V6" s="73" t="s">
        <v>190</v>
      </c>
      <c r="W6" s="72" t="s">
        <v>191</v>
      </c>
      <c r="X6" s="72" t="s">
        <v>192</v>
      </c>
      <c r="Y6" s="72" t="s">
        <v>193</v>
      </c>
      <c r="Z6" s="72" t="s">
        <v>194</v>
      </c>
      <c r="AA6" s="73" t="s">
        <v>195</v>
      </c>
      <c r="AB6" s="73" t="s">
        <v>196</v>
      </c>
      <c r="AC6" s="73" t="s">
        <v>197</v>
      </c>
      <c r="AD6" s="73" t="s">
        <v>198</v>
      </c>
      <c r="AE6" s="72" t="s">
        <v>199</v>
      </c>
      <c r="AF6" s="72" t="s">
        <v>200</v>
      </c>
      <c r="AG6" s="72" t="s">
        <v>201</v>
      </c>
      <c r="AH6" s="72" t="s">
        <v>202</v>
      </c>
      <c r="AI6" s="73" t="s">
        <v>203</v>
      </c>
      <c r="AJ6" s="73" t="s">
        <v>204</v>
      </c>
      <c r="AK6" s="73" t="s">
        <v>205</v>
      </c>
      <c r="AL6" s="73" t="s">
        <v>206</v>
      </c>
      <c r="AM6" s="72" t="s">
        <v>207</v>
      </c>
      <c r="AN6" s="72" t="s">
        <v>208</v>
      </c>
      <c r="AO6" s="72" t="s">
        <v>209</v>
      </c>
      <c r="AP6" s="72" t="s">
        <v>210</v>
      </c>
      <c r="AQ6" s="73" t="s">
        <v>211</v>
      </c>
      <c r="AR6" s="73" t="s">
        <v>212</v>
      </c>
      <c r="AS6" s="73" t="s">
        <v>213</v>
      </c>
      <c r="AT6" s="73" t="s">
        <v>214</v>
      </c>
      <c r="AU6" s="205" t="s">
        <v>337</v>
      </c>
      <c r="AV6" s="205" t="s">
        <v>339</v>
      </c>
      <c r="AW6" s="205" t="s">
        <v>340</v>
      </c>
      <c r="AX6" s="205" t="s">
        <v>341</v>
      </c>
      <c r="AY6" s="73" t="s">
        <v>338</v>
      </c>
      <c r="AZ6" s="73" t="s">
        <v>342</v>
      </c>
      <c r="BA6" s="73" t="s">
        <v>343</v>
      </c>
      <c r="BB6" s="73" t="s">
        <v>344</v>
      </c>
      <c r="BC6" s="72" t="s">
        <v>215</v>
      </c>
    </row>
    <row r="7" spans="1:55" x14ac:dyDescent="0.25">
      <c r="A7" s="110" t="s">
        <v>216</v>
      </c>
      <c r="B7" s="94"/>
      <c r="C7" s="94"/>
      <c r="D7" s="94"/>
      <c r="E7" s="94"/>
      <c r="F7" s="143">
        <v>126238</v>
      </c>
      <c r="G7" s="94"/>
      <c r="H7" s="94"/>
      <c r="I7" s="144">
        <v>267690</v>
      </c>
      <c r="J7" s="144">
        <v>199794</v>
      </c>
      <c r="K7" s="144">
        <v>670826</v>
      </c>
      <c r="L7" s="144">
        <v>1709637</v>
      </c>
      <c r="M7" s="144">
        <v>1117020.8</v>
      </c>
      <c r="N7" s="144">
        <v>1276660</v>
      </c>
      <c r="O7" s="144">
        <v>593109</v>
      </c>
      <c r="P7" s="144">
        <v>822312.6</v>
      </c>
      <c r="Q7" s="144">
        <v>1002658.8</v>
      </c>
      <c r="R7" s="144">
        <v>53499.4</v>
      </c>
      <c r="S7" s="143">
        <v>367951</v>
      </c>
      <c r="T7" s="143">
        <v>435142</v>
      </c>
      <c r="U7" s="145">
        <v>1433510.4</v>
      </c>
      <c r="V7" s="145">
        <v>4563457</v>
      </c>
      <c r="W7" s="234">
        <v>3853665</v>
      </c>
      <c r="X7" s="234">
        <v>1848154.2</v>
      </c>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189">
        <f>SUM(B7:BB7)</f>
        <v>20341325.199999999</v>
      </c>
    </row>
    <row r="8" spans="1:55" x14ac:dyDescent="0.25">
      <c r="A8" s="110" t="s">
        <v>217</v>
      </c>
      <c r="B8" s="94"/>
      <c r="C8" s="94"/>
      <c r="D8" s="94"/>
      <c r="E8" s="94"/>
      <c r="F8" s="143"/>
      <c r="G8" s="94"/>
      <c r="H8" s="94"/>
      <c r="I8" s="144">
        <f>482746.8+111330.6</f>
        <v>594077.4</v>
      </c>
      <c r="J8" s="144">
        <v>139761.60000000001</v>
      </c>
      <c r="K8" s="144">
        <v>0</v>
      </c>
      <c r="L8" s="144">
        <v>1302836.3999999999</v>
      </c>
      <c r="M8" s="144">
        <v>1352728</v>
      </c>
      <c r="N8" s="144">
        <v>361955.4</v>
      </c>
      <c r="O8" s="144">
        <v>201378</v>
      </c>
      <c r="P8" s="144">
        <v>1802060.4</v>
      </c>
      <c r="Q8" s="144">
        <v>2010780.6</v>
      </c>
      <c r="R8" s="144">
        <v>2345934</v>
      </c>
      <c r="S8" s="143">
        <v>5516364.7999999998</v>
      </c>
      <c r="T8" s="143">
        <v>5125490.8</v>
      </c>
      <c r="U8" s="145">
        <v>6482834.4000000004</v>
      </c>
      <c r="V8" s="145">
        <v>3282735</v>
      </c>
      <c r="W8" s="233">
        <v>1546518</v>
      </c>
      <c r="X8" s="234">
        <v>2401791.6</v>
      </c>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189">
        <f t="shared" ref="BC8:BC16" si="0">SUM(B8:BB8)</f>
        <v>34467246.399999999</v>
      </c>
    </row>
    <row r="9" spans="1:55" x14ac:dyDescent="0.25">
      <c r="A9" s="111" t="s">
        <v>218</v>
      </c>
      <c r="B9" s="94"/>
      <c r="C9" s="94"/>
      <c r="D9" s="94"/>
      <c r="E9" s="94"/>
      <c r="F9" s="94"/>
      <c r="G9" s="94"/>
      <c r="H9" s="94"/>
      <c r="I9" s="144">
        <f>661721+437208+537160+194173+263567+382604</f>
        <v>2476433</v>
      </c>
      <c r="J9" s="144">
        <f>457293+164727.8+131023.2</f>
        <v>753044</v>
      </c>
      <c r="K9" s="144">
        <v>1081738.3999999999</v>
      </c>
      <c r="L9" s="144">
        <v>2640880.7999999998</v>
      </c>
      <c r="M9" s="144">
        <v>2734668</v>
      </c>
      <c r="N9" s="144">
        <v>1660970.4</v>
      </c>
      <c r="O9" s="144">
        <v>256347</v>
      </c>
      <c r="P9" s="144">
        <v>1582685.6</v>
      </c>
      <c r="Q9" s="144">
        <v>415671</v>
      </c>
      <c r="R9" s="144">
        <v>98994.4</v>
      </c>
      <c r="S9" s="143">
        <v>768164.6</v>
      </c>
      <c r="T9" s="143">
        <v>1415827</v>
      </c>
      <c r="U9" s="145">
        <v>1138074.6000000001</v>
      </c>
      <c r="V9" s="145">
        <v>1837800.2</v>
      </c>
      <c r="W9" s="233">
        <v>1084516.2</v>
      </c>
      <c r="X9" s="233">
        <v>175160.6</v>
      </c>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189">
        <f t="shared" si="0"/>
        <v>20120975.800000001</v>
      </c>
    </row>
    <row r="10" spans="1:55" x14ac:dyDescent="0.25">
      <c r="A10" s="111" t="s">
        <v>219</v>
      </c>
      <c r="B10" s="94"/>
      <c r="C10" s="94"/>
      <c r="D10" s="94"/>
      <c r="E10" s="94"/>
      <c r="F10" s="94"/>
      <c r="G10" s="94"/>
      <c r="H10" s="94"/>
      <c r="I10" s="144">
        <f>274177.2+200392.8+570366.6</f>
        <v>1044936.6</v>
      </c>
      <c r="J10" s="144">
        <f>314530.2+198744</f>
        <v>513274.2</v>
      </c>
      <c r="K10" s="144">
        <v>531433.80000000005</v>
      </c>
      <c r="L10" s="144">
        <v>1143873.6000000001</v>
      </c>
      <c r="M10" s="144">
        <v>1551963.6</v>
      </c>
      <c r="N10" s="144">
        <v>392206.2</v>
      </c>
      <c r="O10" s="144">
        <v>554299.80000000005</v>
      </c>
      <c r="P10" s="144">
        <v>207696</v>
      </c>
      <c r="Q10" s="144">
        <v>1291915.8</v>
      </c>
      <c r="R10" s="144">
        <v>748902.6</v>
      </c>
      <c r="S10" s="143">
        <v>3582861.5999999996</v>
      </c>
      <c r="T10" s="143">
        <v>1248226.2</v>
      </c>
      <c r="U10" s="145">
        <v>2285997</v>
      </c>
      <c r="V10" s="145">
        <v>441340.8</v>
      </c>
      <c r="W10" s="233">
        <v>2706888.6</v>
      </c>
      <c r="X10" s="233">
        <v>903441.6</v>
      </c>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189">
        <f t="shared" si="0"/>
        <v>19149258.000000004</v>
      </c>
    </row>
    <row r="11" spans="1:55" x14ac:dyDescent="0.25">
      <c r="A11" s="111" t="s">
        <v>220</v>
      </c>
      <c r="B11" s="94"/>
      <c r="C11" s="94"/>
      <c r="D11" s="94"/>
      <c r="E11" s="94"/>
      <c r="F11" s="94"/>
      <c r="G11" s="94"/>
      <c r="H11" s="94"/>
      <c r="I11" s="144">
        <v>333408</v>
      </c>
      <c r="J11" s="144">
        <v>223901</v>
      </c>
      <c r="K11" s="144">
        <v>209826</v>
      </c>
      <c r="L11" s="144">
        <v>1108147</v>
      </c>
      <c r="M11" s="144">
        <v>1437356.8</v>
      </c>
      <c r="N11" s="144">
        <v>808756</v>
      </c>
      <c r="O11" s="144">
        <v>137536.20000000001</v>
      </c>
      <c r="P11" s="144">
        <v>273341</v>
      </c>
      <c r="Q11" s="144">
        <v>335156.40000000002</v>
      </c>
      <c r="R11" s="144">
        <v>0</v>
      </c>
      <c r="S11" s="209">
        <v>0</v>
      </c>
      <c r="T11" s="143">
        <v>113341</v>
      </c>
      <c r="U11" s="145">
        <v>60710.8</v>
      </c>
      <c r="V11" s="145">
        <v>808422.40000000002</v>
      </c>
      <c r="W11" s="233">
        <v>671869.8</v>
      </c>
      <c r="X11" s="233">
        <v>18590.599999999999</v>
      </c>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189">
        <f t="shared" si="0"/>
        <v>6540363</v>
      </c>
    </row>
    <row r="12" spans="1:55" x14ac:dyDescent="0.25">
      <c r="A12" s="111" t="s">
        <v>221</v>
      </c>
      <c r="B12" s="94"/>
      <c r="C12" s="94"/>
      <c r="D12" s="94"/>
      <c r="E12" s="94"/>
      <c r="F12" s="94"/>
      <c r="G12" s="94"/>
      <c r="H12" s="94"/>
      <c r="I12" s="144">
        <v>0</v>
      </c>
      <c r="J12" s="144">
        <v>0</v>
      </c>
      <c r="K12" s="144">
        <v>404035.2</v>
      </c>
      <c r="L12" s="144">
        <v>0</v>
      </c>
      <c r="M12" s="144">
        <v>1689702</v>
      </c>
      <c r="N12" s="144">
        <v>335261.40000000002</v>
      </c>
      <c r="O12" s="144">
        <v>0</v>
      </c>
      <c r="P12" s="144">
        <v>429816.6</v>
      </c>
      <c r="Q12" s="144">
        <v>637987.80000000005</v>
      </c>
      <c r="R12" s="144">
        <v>0</v>
      </c>
      <c r="S12" s="143">
        <v>438820.8</v>
      </c>
      <c r="T12" s="143">
        <v>185121</v>
      </c>
      <c r="U12" s="145">
        <v>1201422</v>
      </c>
      <c r="V12" s="145">
        <v>193747.8</v>
      </c>
      <c r="W12" s="233">
        <v>816741.6</v>
      </c>
      <c r="X12" s="233">
        <v>418401</v>
      </c>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189">
        <f t="shared" si="0"/>
        <v>6751057.1999999993</v>
      </c>
    </row>
    <row r="13" spans="1:55" x14ac:dyDescent="0.25">
      <c r="A13" s="111" t="s">
        <v>222</v>
      </c>
      <c r="B13" s="94"/>
      <c r="C13" s="94"/>
      <c r="D13" s="94"/>
      <c r="E13" s="94"/>
      <c r="F13" s="94"/>
      <c r="G13" s="94"/>
      <c r="H13" s="94"/>
      <c r="I13" s="94"/>
      <c r="J13" s="94"/>
      <c r="K13" s="95"/>
      <c r="L13" s="95"/>
      <c r="M13" s="144"/>
      <c r="N13" s="144"/>
      <c r="O13" s="144"/>
      <c r="P13" s="144"/>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189">
        <f t="shared" si="0"/>
        <v>0</v>
      </c>
    </row>
    <row r="14" spans="1:55" x14ac:dyDescent="0.25">
      <c r="A14" s="111" t="s">
        <v>223</v>
      </c>
      <c r="B14" s="94"/>
      <c r="C14" s="94"/>
      <c r="D14" s="94"/>
      <c r="E14" s="94"/>
      <c r="F14" s="94"/>
      <c r="G14" s="94"/>
      <c r="H14" s="94"/>
      <c r="I14" s="94"/>
      <c r="J14" s="94"/>
      <c r="K14" s="95"/>
      <c r="L14" s="95"/>
      <c r="M14" s="144"/>
      <c r="N14" s="144"/>
      <c r="O14" s="144"/>
      <c r="P14" s="144"/>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189">
        <f t="shared" si="0"/>
        <v>0</v>
      </c>
    </row>
    <row r="15" spans="1:55" x14ac:dyDescent="0.25">
      <c r="A15" s="112" t="s">
        <v>224</v>
      </c>
      <c r="B15" s="94"/>
      <c r="C15" s="94"/>
      <c r="D15" s="94"/>
      <c r="E15" s="94"/>
      <c r="F15" s="94"/>
      <c r="G15" s="94"/>
      <c r="H15" s="94"/>
      <c r="I15" s="94"/>
      <c r="J15" s="94"/>
      <c r="K15" s="95"/>
      <c r="L15" s="95"/>
      <c r="M15" s="144"/>
      <c r="N15" s="144"/>
      <c r="O15" s="144"/>
      <c r="P15" s="144"/>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189">
        <f t="shared" si="0"/>
        <v>0</v>
      </c>
    </row>
    <row r="16" spans="1:55" ht="15.75" thickBot="1" x14ac:dyDescent="0.3">
      <c r="A16" s="112" t="s">
        <v>225</v>
      </c>
      <c r="B16" s="94"/>
      <c r="C16" s="94"/>
      <c r="D16" s="94"/>
      <c r="E16" s="94"/>
      <c r="F16" s="94"/>
      <c r="G16" s="94"/>
      <c r="H16" s="94"/>
      <c r="I16" s="94"/>
      <c r="J16" s="94"/>
      <c r="K16" s="95"/>
      <c r="L16" s="95"/>
      <c r="M16" s="144"/>
      <c r="N16" s="144"/>
      <c r="O16" s="144"/>
      <c r="P16" s="144"/>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189">
        <f t="shared" si="0"/>
        <v>0</v>
      </c>
    </row>
    <row r="17" spans="1:55" s="39" customFormat="1" ht="13.5" thickBot="1" x14ac:dyDescent="0.25">
      <c r="A17" s="40" t="s">
        <v>226</v>
      </c>
      <c r="B17" s="96">
        <f>SUM(B7:B16)</f>
        <v>0</v>
      </c>
      <c r="C17" s="190">
        <f t="shared" ref="C17:F17" si="1">SUM(C7:C16)</f>
        <v>0</v>
      </c>
      <c r="D17" s="190">
        <f t="shared" si="1"/>
        <v>0</v>
      </c>
      <c r="E17" s="190">
        <f t="shared" si="1"/>
        <v>0</v>
      </c>
      <c r="F17" s="195">
        <f t="shared" si="1"/>
        <v>126238</v>
      </c>
      <c r="G17" s="193">
        <f>SUM(G7:G16)</f>
        <v>0</v>
      </c>
      <c r="H17" s="193">
        <f t="shared" ref="H17:J17" si="2">SUM(H7:H16)</f>
        <v>0</v>
      </c>
      <c r="I17" s="193">
        <f t="shared" si="2"/>
        <v>4716545</v>
      </c>
      <c r="J17" s="193">
        <f t="shared" si="2"/>
        <v>1829774.8</v>
      </c>
      <c r="K17" s="194">
        <f>SUM(K7:K16)</f>
        <v>2897859.4000000004</v>
      </c>
      <c r="L17" s="194">
        <f>SUM(L7:L16)</f>
        <v>7905374.7999999989</v>
      </c>
      <c r="M17" s="194">
        <f t="shared" ref="M17:N17" si="3">SUM(M7:M16)</f>
        <v>9883439.1999999993</v>
      </c>
      <c r="N17" s="194">
        <f t="shared" si="3"/>
        <v>4835809.4000000004</v>
      </c>
      <c r="O17" s="193">
        <f>SUM(O7:O16)</f>
        <v>1742670</v>
      </c>
      <c r="P17" s="193">
        <f t="shared" ref="P17:R17" si="4">SUM(P7:P16)</f>
        <v>5117912.1999999993</v>
      </c>
      <c r="Q17" s="193">
        <f t="shared" si="4"/>
        <v>5694170.4000000004</v>
      </c>
      <c r="R17" s="193">
        <f t="shared" si="4"/>
        <v>3247330.4</v>
      </c>
      <c r="S17" s="194">
        <f>SUM(S7:S16)</f>
        <v>10674162.800000001</v>
      </c>
      <c r="T17" s="194">
        <f t="shared" ref="T17:V17" si="5">SUM(T7:T16)</f>
        <v>8523148</v>
      </c>
      <c r="U17" s="194">
        <f t="shared" si="5"/>
        <v>12602549.200000001</v>
      </c>
      <c r="V17" s="194">
        <f t="shared" si="5"/>
        <v>11127503.200000001</v>
      </c>
      <c r="W17" s="193">
        <f>SUM(W7:W16)</f>
        <v>10680199.200000001</v>
      </c>
      <c r="X17" s="193">
        <f t="shared" ref="X17:Z17" si="6">SUM(X7:X16)</f>
        <v>5765539.5999999987</v>
      </c>
      <c r="Y17" s="193">
        <f t="shared" si="6"/>
        <v>0</v>
      </c>
      <c r="Z17" s="193">
        <f t="shared" si="6"/>
        <v>0</v>
      </c>
      <c r="AA17" s="194">
        <f>SUM(AA7:AA16)</f>
        <v>0</v>
      </c>
      <c r="AB17" s="194">
        <f t="shared" ref="AB17:AD17" si="7">SUM(AB7:AB16)</f>
        <v>0</v>
      </c>
      <c r="AC17" s="194">
        <f t="shared" si="7"/>
        <v>0</v>
      </c>
      <c r="AD17" s="194">
        <f t="shared" si="7"/>
        <v>0</v>
      </c>
      <c r="AE17" s="193">
        <f>SUM(AE7:AE16)</f>
        <v>0</v>
      </c>
      <c r="AF17" s="193">
        <f t="shared" ref="AF17:AH17" si="8">SUM(AF7:AF16)</f>
        <v>0</v>
      </c>
      <c r="AG17" s="193">
        <f t="shared" si="8"/>
        <v>0</v>
      </c>
      <c r="AH17" s="193">
        <f t="shared" si="8"/>
        <v>0</v>
      </c>
      <c r="AI17" s="194">
        <f>SUM(AI7:AI16)</f>
        <v>0</v>
      </c>
      <c r="AJ17" s="194">
        <f t="shared" ref="AJ17:AL17" si="9">SUM(AJ7:AJ16)</f>
        <v>0</v>
      </c>
      <c r="AK17" s="194">
        <f t="shared" si="9"/>
        <v>0</v>
      </c>
      <c r="AL17" s="194">
        <f t="shared" si="9"/>
        <v>0</v>
      </c>
      <c r="AM17" s="193">
        <f>SUM(AM7:AM16)</f>
        <v>0</v>
      </c>
      <c r="AN17" s="193">
        <f t="shared" ref="AN17:AP17" si="10">SUM(AN7:AN16)</f>
        <v>0</v>
      </c>
      <c r="AO17" s="193">
        <f t="shared" si="10"/>
        <v>0</v>
      </c>
      <c r="AP17" s="193">
        <f t="shared" si="10"/>
        <v>0</v>
      </c>
      <c r="AQ17" s="194">
        <f>SUM(AQ7:AQ16)</f>
        <v>0</v>
      </c>
      <c r="AR17" s="194">
        <f t="shared" ref="AR17:BB17" si="11">SUM(AR7:AR16)</f>
        <v>0</v>
      </c>
      <c r="AS17" s="194">
        <f t="shared" si="11"/>
        <v>0</v>
      </c>
      <c r="AT17" s="194">
        <f t="shared" si="11"/>
        <v>0</v>
      </c>
      <c r="AU17" s="206">
        <f t="shared" si="11"/>
        <v>0</v>
      </c>
      <c r="AV17" s="206">
        <f t="shared" si="11"/>
        <v>0</v>
      </c>
      <c r="AW17" s="206">
        <f t="shared" si="11"/>
        <v>0</v>
      </c>
      <c r="AX17" s="206">
        <f t="shared" si="11"/>
        <v>0</v>
      </c>
      <c r="AY17" s="194">
        <f t="shared" si="11"/>
        <v>0</v>
      </c>
      <c r="AZ17" s="194">
        <f t="shared" si="11"/>
        <v>0</v>
      </c>
      <c r="BA17" s="194">
        <f t="shared" si="11"/>
        <v>0</v>
      </c>
      <c r="BB17" s="194">
        <f t="shared" si="11"/>
        <v>0</v>
      </c>
      <c r="BC17" s="193">
        <f>SUM(BC7:BC16)</f>
        <v>107370225.59999999</v>
      </c>
    </row>
    <row r="19" spans="1:55" ht="117" customHeight="1" x14ac:dyDescent="0.25">
      <c r="A19" s="185" t="s">
        <v>227</v>
      </c>
    </row>
    <row r="21" spans="1:55" ht="15.75" thickBot="1" x14ac:dyDescent="0.3">
      <c r="A21" s="23" t="s">
        <v>228</v>
      </c>
    </row>
    <row r="22" spans="1:55" s="39" customFormat="1" ht="13.5" thickBot="1" x14ac:dyDescent="0.25">
      <c r="A22" s="40" t="s">
        <v>169</v>
      </c>
      <c r="B22" s="72" t="s">
        <v>170</v>
      </c>
      <c r="C22" s="73" t="s">
        <v>171</v>
      </c>
      <c r="D22" s="73" t="s">
        <v>172</v>
      </c>
      <c r="E22" s="73" t="s">
        <v>173</v>
      </c>
      <c r="F22" s="73" t="s">
        <v>174</v>
      </c>
      <c r="G22" s="72" t="s">
        <v>175</v>
      </c>
      <c r="H22" s="72" t="s">
        <v>176</v>
      </c>
      <c r="I22" s="72" t="s">
        <v>177</v>
      </c>
      <c r="J22" s="72" t="s">
        <v>178</v>
      </c>
      <c r="K22" s="73" t="s">
        <v>179</v>
      </c>
      <c r="L22" s="73" t="s">
        <v>180</v>
      </c>
      <c r="M22" s="73" t="s">
        <v>181</v>
      </c>
      <c r="N22" s="73" t="s">
        <v>182</v>
      </c>
      <c r="O22" s="72" t="s">
        <v>183</v>
      </c>
      <c r="P22" s="72" t="s">
        <v>184</v>
      </c>
      <c r="Q22" s="72" t="s">
        <v>185</v>
      </c>
      <c r="R22" s="72" t="s">
        <v>186</v>
      </c>
      <c r="S22" s="73" t="s">
        <v>187</v>
      </c>
      <c r="T22" s="73" t="s">
        <v>188</v>
      </c>
      <c r="U22" s="73" t="s">
        <v>189</v>
      </c>
      <c r="V22" s="73" t="s">
        <v>190</v>
      </c>
      <c r="W22" s="72" t="s">
        <v>191</v>
      </c>
      <c r="X22" s="72" t="s">
        <v>192</v>
      </c>
      <c r="Y22" s="72" t="s">
        <v>193</v>
      </c>
      <c r="Z22" s="72" t="s">
        <v>194</v>
      </c>
      <c r="AA22" s="73" t="s">
        <v>195</v>
      </c>
      <c r="AB22" s="73" t="s">
        <v>196</v>
      </c>
      <c r="AC22" s="73" t="s">
        <v>197</v>
      </c>
      <c r="AD22" s="73" t="s">
        <v>198</v>
      </c>
      <c r="AE22" s="72" t="s">
        <v>199</v>
      </c>
      <c r="AF22" s="72" t="s">
        <v>200</v>
      </c>
      <c r="AG22" s="72" t="s">
        <v>201</v>
      </c>
      <c r="AH22" s="72" t="s">
        <v>202</v>
      </c>
      <c r="AI22" s="73" t="s">
        <v>203</v>
      </c>
      <c r="AJ22" s="73" t="s">
        <v>204</v>
      </c>
      <c r="AK22" s="73" t="s">
        <v>205</v>
      </c>
      <c r="AL22" s="73" t="s">
        <v>206</v>
      </c>
      <c r="AM22" s="72" t="s">
        <v>207</v>
      </c>
      <c r="AN22" s="72" t="s">
        <v>208</v>
      </c>
      <c r="AO22" s="72" t="s">
        <v>209</v>
      </c>
      <c r="AP22" s="72" t="s">
        <v>210</v>
      </c>
      <c r="AQ22" s="73" t="s">
        <v>211</v>
      </c>
      <c r="AR22" s="73" t="s">
        <v>212</v>
      </c>
      <c r="AS22" s="73" t="s">
        <v>213</v>
      </c>
      <c r="AT22" s="73" t="s">
        <v>214</v>
      </c>
      <c r="AU22" s="205" t="s">
        <v>337</v>
      </c>
      <c r="AV22" s="205" t="s">
        <v>339</v>
      </c>
      <c r="AW22" s="205" t="s">
        <v>340</v>
      </c>
      <c r="AX22" s="205" t="s">
        <v>341</v>
      </c>
      <c r="AY22" s="73" t="s">
        <v>338</v>
      </c>
      <c r="AZ22" s="73" t="s">
        <v>342</v>
      </c>
      <c r="BA22" s="73" t="s">
        <v>343</v>
      </c>
      <c r="BB22" s="73" t="s">
        <v>344</v>
      </c>
      <c r="BC22" s="72" t="s">
        <v>215</v>
      </c>
    </row>
    <row r="23" spans="1:55" x14ac:dyDescent="0.25">
      <c r="A23" s="110" t="s">
        <v>229</v>
      </c>
      <c r="B23" s="94"/>
      <c r="C23" s="94"/>
      <c r="D23" s="94"/>
      <c r="E23" s="94"/>
      <c r="F23" s="94"/>
      <c r="G23" s="142"/>
      <c r="H23" s="84"/>
      <c r="I23" s="143"/>
      <c r="J23" s="144"/>
      <c r="K23" s="143"/>
      <c r="L23" s="144"/>
      <c r="M23" s="144"/>
      <c r="N23" s="144"/>
      <c r="O23" s="144"/>
      <c r="P23" s="144"/>
      <c r="Q23" s="144"/>
      <c r="R23" s="199"/>
      <c r="S23" s="145"/>
      <c r="T23" s="145"/>
      <c r="U23" s="145"/>
      <c r="V23" s="145"/>
      <c r="W23" s="145"/>
      <c r="X23" s="145"/>
      <c r="Y23" s="145">
        <v>839351.60000000009</v>
      </c>
      <c r="Z23" s="145">
        <v>971212.20000000007</v>
      </c>
      <c r="AA23" s="145">
        <v>5276546.6000000006</v>
      </c>
      <c r="AB23" s="145">
        <v>11603117.6</v>
      </c>
      <c r="AC23" s="145">
        <v>7185270.5999999987</v>
      </c>
      <c r="AD23" s="145">
        <v>15008959.800000001</v>
      </c>
      <c r="AE23" s="145">
        <v>12240365</v>
      </c>
      <c r="AF23" s="145">
        <v>2130609</v>
      </c>
      <c r="AG23" s="145">
        <v>9742123</v>
      </c>
      <c r="AH23" s="145">
        <v>0</v>
      </c>
      <c r="AI23" s="145">
        <v>7408113.0600000005</v>
      </c>
      <c r="AJ23" s="145"/>
      <c r="AK23" s="145"/>
      <c r="AL23" s="145"/>
      <c r="AM23" s="145"/>
      <c r="AN23" s="145"/>
      <c r="AO23" s="145"/>
      <c r="AP23" s="145"/>
      <c r="AQ23" s="145"/>
      <c r="AR23" s="145"/>
      <c r="AS23" s="145"/>
      <c r="AT23" s="145"/>
      <c r="AU23" s="145"/>
      <c r="AV23" s="145"/>
      <c r="AW23" s="145"/>
      <c r="AX23" s="145"/>
      <c r="AY23" s="145"/>
      <c r="AZ23" s="145"/>
      <c r="BA23" s="145"/>
      <c r="BB23" s="145"/>
      <c r="BC23" s="189">
        <f>SUM(B23:BB23)</f>
        <v>72405668.459999993</v>
      </c>
    </row>
    <row r="24" spans="1:55" x14ac:dyDescent="0.25">
      <c r="A24" s="111" t="s">
        <v>230</v>
      </c>
      <c r="B24" s="84"/>
      <c r="C24" s="94"/>
      <c r="D24" s="94"/>
      <c r="E24" s="94"/>
      <c r="F24" s="94"/>
      <c r="G24" s="146"/>
      <c r="H24" s="144"/>
      <c r="I24" s="144"/>
      <c r="J24" s="143"/>
      <c r="K24" s="144"/>
      <c r="L24" s="144"/>
      <c r="M24" s="143"/>
      <c r="N24" s="144"/>
      <c r="O24" s="144"/>
      <c r="P24" s="144"/>
      <c r="Q24" s="144"/>
      <c r="R24" s="144"/>
      <c r="S24" s="145"/>
      <c r="T24" s="145"/>
      <c r="U24" s="145"/>
      <c r="V24" s="145"/>
      <c r="W24" s="145"/>
      <c r="X24" s="145"/>
      <c r="Y24" s="145">
        <v>285060.2</v>
      </c>
      <c r="Z24" s="145">
        <v>1044641.8</v>
      </c>
      <c r="AA24" s="145">
        <v>6795026.7999999989</v>
      </c>
      <c r="AB24" s="145">
        <v>4444095.8000000007</v>
      </c>
      <c r="AC24" s="145">
        <v>4926219.2</v>
      </c>
      <c r="AD24" s="145">
        <v>1816620</v>
      </c>
      <c r="AE24" s="145">
        <v>2452752</v>
      </c>
      <c r="AF24" s="145">
        <v>4125502</v>
      </c>
      <c r="AG24" s="145">
        <v>9950288.7300000004</v>
      </c>
      <c r="AH24" s="145">
        <v>0</v>
      </c>
      <c r="AI24" s="145">
        <v>947566.93</v>
      </c>
      <c r="AJ24" s="145"/>
      <c r="AK24" s="145"/>
      <c r="AL24" s="145"/>
      <c r="AM24" s="145"/>
      <c r="AN24" s="145"/>
      <c r="AO24" s="145"/>
      <c r="AP24" s="145"/>
      <c r="AQ24" s="145"/>
      <c r="AR24" s="145"/>
      <c r="AS24" s="145"/>
      <c r="AT24" s="145"/>
      <c r="AU24" s="145"/>
      <c r="AV24" s="145"/>
      <c r="AW24" s="145"/>
      <c r="AX24" s="145"/>
      <c r="AY24" s="145"/>
      <c r="AZ24" s="145"/>
      <c r="BA24" s="145"/>
      <c r="BB24" s="145"/>
      <c r="BC24" s="189">
        <f t="shared" ref="BC24:BC27" si="12">SUM(B24:BB24)</f>
        <v>36787773.460000001</v>
      </c>
    </row>
    <row r="25" spans="1:55" x14ac:dyDescent="0.25">
      <c r="A25" s="111" t="s">
        <v>231</v>
      </c>
      <c r="B25" s="94"/>
      <c r="C25" s="94"/>
      <c r="D25" s="94"/>
      <c r="E25" s="94"/>
      <c r="F25" s="94"/>
      <c r="G25" s="144"/>
      <c r="H25" s="144"/>
      <c r="I25" s="143"/>
      <c r="J25" s="144"/>
      <c r="K25" s="143"/>
      <c r="L25" s="144"/>
      <c r="M25" s="144"/>
      <c r="N25" s="144"/>
      <c r="O25" s="144"/>
      <c r="P25" s="143"/>
      <c r="Q25" s="144"/>
      <c r="R25" s="145"/>
      <c r="S25" s="145"/>
      <c r="T25" s="143"/>
      <c r="U25" s="145"/>
      <c r="V25" s="145"/>
      <c r="W25" s="145"/>
      <c r="X25" s="145"/>
      <c r="Y25" s="145">
        <v>128996.99999999999</v>
      </c>
      <c r="Z25" s="145">
        <v>800820</v>
      </c>
      <c r="AA25" s="145">
        <v>903044.2</v>
      </c>
      <c r="AB25" s="145">
        <v>3800955.6</v>
      </c>
      <c r="AC25" s="145">
        <v>1204157</v>
      </c>
      <c r="AD25" s="145">
        <v>1520837</v>
      </c>
      <c r="AE25" s="145">
        <v>2607420</v>
      </c>
      <c r="AF25" s="145">
        <v>1492288</v>
      </c>
      <c r="AG25" s="145">
        <v>1034513</v>
      </c>
      <c r="AH25" s="145">
        <v>0</v>
      </c>
      <c r="AI25" s="145">
        <v>443089.06</v>
      </c>
      <c r="AJ25" s="145"/>
      <c r="AK25" s="145"/>
      <c r="AL25" s="145"/>
      <c r="AM25" s="145"/>
      <c r="AN25" s="145"/>
      <c r="AO25" s="145"/>
      <c r="AP25" s="145"/>
      <c r="AQ25" s="145"/>
      <c r="AR25" s="145"/>
      <c r="AS25" s="145"/>
      <c r="AT25" s="145"/>
      <c r="AU25" s="145"/>
      <c r="AV25" s="145"/>
      <c r="AW25" s="145"/>
      <c r="AX25" s="145"/>
      <c r="AY25" s="145"/>
      <c r="AZ25" s="145"/>
      <c r="BA25" s="145"/>
      <c r="BB25" s="145"/>
      <c r="BC25" s="189">
        <f t="shared" si="12"/>
        <v>13936120.860000001</v>
      </c>
    </row>
    <row r="26" spans="1:55" x14ac:dyDescent="0.25">
      <c r="A26" s="111" t="s">
        <v>232</v>
      </c>
      <c r="B26" s="94"/>
      <c r="C26" s="94"/>
      <c r="D26" s="94"/>
      <c r="E26" s="94"/>
      <c r="F26" s="94"/>
      <c r="G26" s="94"/>
      <c r="H26" s="94"/>
      <c r="I26" s="143"/>
      <c r="J26" s="144"/>
      <c r="K26" s="145"/>
      <c r="L26" s="144"/>
      <c r="M26" s="145"/>
      <c r="N26" s="144"/>
      <c r="O26" s="144"/>
      <c r="P26" s="145"/>
      <c r="Q26" s="144"/>
      <c r="R26" s="145"/>
      <c r="S26" s="145"/>
      <c r="T26" s="145"/>
      <c r="U26" s="145"/>
      <c r="V26" s="145"/>
      <c r="W26" s="145"/>
      <c r="X26" s="145"/>
      <c r="Y26" s="145">
        <v>0</v>
      </c>
      <c r="Z26" s="145">
        <v>0</v>
      </c>
      <c r="AA26" s="145">
        <v>0</v>
      </c>
      <c r="AB26" s="145">
        <v>0</v>
      </c>
      <c r="AC26" s="145">
        <v>0</v>
      </c>
      <c r="AD26" s="145">
        <v>0</v>
      </c>
      <c r="AE26" s="145">
        <v>0</v>
      </c>
      <c r="AF26" s="145">
        <v>0</v>
      </c>
      <c r="AG26" s="145">
        <v>0</v>
      </c>
      <c r="AH26" s="145">
        <v>0</v>
      </c>
      <c r="AI26" s="145">
        <v>0</v>
      </c>
      <c r="AJ26" s="145"/>
      <c r="AK26" s="145"/>
      <c r="AL26" s="145"/>
      <c r="AM26" s="145"/>
      <c r="AN26" s="145"/>
      <c r="AO26" s="145"/>
      <c r="AP26" s="145"/>
      <c r="AQ26" s="145"/>
      <c r="AR26" s="145"/>
      <c r="AS26" s="145"/>
      <c r="AT26" s="145"/>
      <c r="AU26" s="145"/>
      <c r="AV26" s="145"/>
      <c r="AW26" s="145"/>
      <c r="AX26" s="145"/>
      <c r="AY26" s="145"/>
      <c r="AZ26" s="145"/>
      <c r="BA26" s="145"/>
      <c r="BB26" s="145"/>
      <c r="BC26" s="189">
        <f t="shared" si="12"/>
        <v>0</v>
      </c>
    </row>
    <row r="27" spans="1:55" ht="15.75" thickBot="1" x14ac:dyDescent="0.3">
      <c r="A27" s="112" t="s">
        <v>233</v>
      </c>
      <c r="B27" s="94"/>
      <c r="C27" s="94"/>
      <c r="D27" s="94"/>
      <c r="E27" s="94"/>
      <c r="F27" s="94"/>
      <c r="G27" s="94"/>
      <c r="H27" s="94"/>
      <c r="I27" s="143"/>
      <c r="J27" s="144"/>
      <c r="K27" s="145"/>
      <c r="L27" s="144"/>
      <c r="M27" s="144"/>
      <c r="N27" s="144"/>
      <c r="O27" s="144"/>
      <c r="P27" s="145"/>
      <c r="Q27" s="145"/>
      <c r="R27" s="145"/>
      <c r="S27" s="145"/>
      <c r="T27" s="145"/>
      <c r="U27" s="145"/>
      <c r="V27" s="145"/>
      <c r="W27" s="145"/>
      <c r="X27" s="145"/>
      <c r="Y27" s="145">
        <v>0</v>
      </c>
      <c r="Z27" s="145">
        <v>0</v>
      </c>
      <c r="AA27" s="145">
        <v>120170</v>
      </c>
      <c r="AB27" s="145">
        <v>0</v>
      </c>
      <c r="AC27" s="145">
        <v>0</v>
      </c>
      <c r="AD27" s="145">
        <v>0</v>
      </c>
      <c r="AE27" s="145">
        <v>0</v>
      </c>
      <c r="AF27" s="145">
        <v>0</v>
      </c>
      <c r="AG27" s="145">
        <v>0</v>
      </c>
      <c r="AH27" s="145">
        <v>0</v>
      </c>
      <c r="AI27" s="145">
        <v>0</v>
      </c>
      <c r="AJ27" s="145"/>
      <c r="AK27" s="145"/>
      <c r="AL27" s="145"/>
      <c r="AM27" s="145"/>
      <c r="AN27" s="145"/>
      <c r="AO27" s="145"/>
      <c r="AP27" s="145"/>
      <c r="AQ27" s="145"/>
      <c r="AR27" s="145"/>
      <c r="AS27" s="145"/>
      <c r="AT27" s="145"/>
      <c r="AU27" s="145"/>
      <c r="AV27" s="145"/>
      <c r="AW27" s="145"/>
      <c r="AX27" s="145"/>
      <c r="AY27" s="145"/>
      <c r="AZ27" s="145"/>
      <c r="BA27" s="145"/>
      <c r="BB27" s="145"/>
      <c r="BC27" s="189">
        <f t="shared" si="12"/>
        <v>120170</v>
      </c>
    </row>
    <row r="28" spans="1:55" s="39" customFormat="1" ht="13.5" thickBot="1" x14ac:dyDescent="0.25">
      <c r="A28" s="40" t="s">
        <v>234</v>
      </c>
      <c r="B28" s="96">
        <f>SUM(B23:B27)</f>
        <v>0</v>
      </c>
      <c r="C28" s="97">
        <f t="shared" ref="C28:R28" si="13">SUM(C23:C27)</f>
        <v>0</v>
      </c>
      <c r="D28" s="97">
        <f t="shared" si="13"/>
        <v>0</v>
      </c>
      <c r="E28" s="97">
        <f t="shared" si="13"/>
        <v>0</v>
      </c>
      <c r="F28" s="97">
        <f t="shared" si="13"/>
        <v>0</v>
      </c>
      <c r="G28" s="96">
        <f t="shared" si="13"/>
        <v>0</v>
      </c>
      <c r="H28" s="96">
        <f t="shared" si="13"/>
        <v>0</v>
      </c>
      <c r="I28" s="96">
        <f t="shared" si="13"/>
        <v>0</v>
      </c>
      <c r="J28" s="96">
        <f t="shared" si="13"/>
        <v>0</v>
      </c>
      <c r="K28" s="97">
        <f t="shared" si="13"/>
        <v>0</v>
      </c>
      <c r="L28" s="97">
        <f t="shared" si="13"/>
        <v>0</v>
      </c>
      <c r="M28" s="97">
        <f t="shared" si="13"/>
        <v>0</v>
      </c>
      <c r="N28" s="97">
        <f t="shared" si="13"/>
        <v>0</v>
      </c>
      <c r="O28" s="193">
        <f t="shared" si="13"/>
        <v>0</v>
      </c>
      <c r="P28" s="193">
        <f t="shared" si="13"/>
        <v>0</v>
      </c>
      <c r="Q28" s="193">
        <f t="shared" si="13"/>
        <v>0</v>
      </c>
      <c r="R28" s="193">
        <f t="shared" si="13"/>
        <v>0</v>
      </c>
      <c r="S28" s="194">
        <f t="shared" ref="S28" si="14">SUM(S23:S27)</f>
        <v>0</v>
      </c>
      <c r="T28" s="194">
        <f t="shared" ref="T28" si="15">SUM(T23:T27)</f>
        <v>0</v>
      </c>
      <c r="U28" s="194">
        <f t="shared" ref="U28" si="16">SUM(U23:U27)</f>
        <v>0</v>
      </c>
      <c r="V28" s="194">
        <f t="shared" ref="V28" si="17">SUM(V23:V27)</f>
        <v>0</v>
      </c>
      <c r="W28" s="193">
        <f t="shared" ref="W28" si="18">SUM(W23:W27)</f>
        <v>0</v>
      </c>
      <c r="X28" s="193">
        <f t="shared" ref="X28" si="19">SUM(X23:X27)</f>
        <v>0</v>
      </c>
      <c r="Y28" s="193">
        <f t="shared" ref="Y28" si="20">SUM(Y23:Y27)</f>
        <v>1253408.8</v>
      </c>
      <c r="Z28" s="193">
        <f t="shared" ref="Z28" si="21">SUM(Z23:Z27)</f>
        <v>2816674</v>
      </c>
      <c r="AA28" s="194">
        <f t="shared" ref="AA28" si="22">SUM(AA23:AA27)</f>
        <v>13094787.599999998</v>
      </c>
      <c r="AB28" s="194">
        <f t="shared" ref="AB28" si="23">SUM(AB23:AB27)</f>
        <v>19848169</v>
      </c>
      <c r="AC28" s="194">
        <f t="shared" ref="AC28" si="24">SUM(AC23:AC27)</f>
        <v>13315646.799999999</v>
      </c>
      <c r="AD28" s="194">
        <f t="shared" ref="AD28" si="25">SUM(AD23:AD27)</f>
        <v>18346416.800000001</v>
      </c>
      <c r="AE28" s="193">
        <f t="shared" ref="AE28" si="26">SUM(AE23:AE27)</f>
        <v>17300537</v>
      </c>
      <c r="AF28" s="193">
        <f t="shared" ref="AF28" si="27">SUM(AF23:AF27)</f>
        <v>7748399</v>
      </c>
      <c r="AG28" s="193">
        <f t="shared" ref="AG28" si="28">SUM(AG23:AG27)</f>
        <v>20726924.73</v>
      </c>
      <c r="AH28" s="193">
        <f t="shared" ref="AH28" si="29">SUM(AH23:AH27)</f>
        <v>0</v>
      </c>
      <c r="AI28" s="194">
        <f t="shared" ref="AI28" si="30">SUM(AI23:AI27)</f>
        <v>8798769.0500000007</v>
      </c>
      <c r="AJ28" s="194">
        <f t="shared" ref="AJ28" si="31">SUM(AJ23:AJ27)</f>
        <v>0</v>
      </c>
      <c r="AK28" s="194">
        <f t="shared" ref="AK28" si="32">SUM(AK23:AK27)</f>
        <v>0</v>
      </c>
      <c r="AL28" s="194">
        <f t="shared" ref="AL28" si="33">SUM(AL23:AL27)</f>
        <v>0</v>
      </c>
      <c r="AM28" s="193">
        <f t="shared" ref="AM28" si="34">SUM(AM23:AM27)</f>
        <v>0</v>
      </c>
      <c r="AN28" s="193">
        <f t="shared" ref="AN28" si="35">SUM(AN23:AN27)</f>
        <v>0</v>
      </c>
      <c r="AO28" s="193">
        <f t="shared" ref="AO28" si="36">SUM(AO23:AO27)</f>
        <v>0</v>
      </c>
      <c r="AP28" s="193">
        <f t="shared" ref="AP28" si="37">SUM(AP23:AP27)</f>
        <v>0</v>
      </c>
      <c r="AQ28" s="194">
        <f t="shared" ref="AQ28" si="38">SUM(AQ23:AQ27)</f>
        <v>0</v>
      </c>
      <c r="AR28" s="194">
        <f t="shared" ref="AR28" si="39">SUM(AR23:AR27)</f>
        <v>0</v>
      </c>
      <c r="AS28" s="194">
        <f t="shared" ref="AS28" si="40">SUM(AS23:AS27)</f>
        <v>0</v>
      </c>
      <c r="AT28" s="194">
        <f t="shared" ref="AT28:BB28" si="41">SUM(AT23:AT27)</f>
        <v>0</v>
      </c>
      <c r="AU28" s="206">
        <f t="shared" si="41"/>
        <v>0</v>
      </c>
      <c r="AV28" s="206">
        <f t="shared" si="41"/>
        <v>0</v>
      </c>
      <c r="AW28" s="206">
        <f t="shared" si="41"/>
        <v>0</v>
      </c>
      <c r="AX28" s="206">
        <f t="shared" si="41"/>
        <v>0</v>
      </c>
      <c r="AY28" s="194">
        <f t="shared" si="41"/>
        <v>0</v>
      </c>
      <c r="AZ28" s="194">
        <f t="shared" si="41"/>
        <v>0</v>
      </c>
      <c r="BA28" s="194">
        <f t="shared" si="41"/>
        <v>0</v>
      </c>
      <c r="BB28" s="194">
        <f t="shared" si="41"/>
        <v>0</v>
      </c>
      <c r="BC28" s="193">
        <f>SUM(BC23:BC27)</f>
        <v>123249732.77999999</v>
      </c>
    </row>
    <row r="30" spans="1:55" x14ac:dyDescent="0.25">
      <c r="A30" s="113" t="s">
        <v>370</v>
      </c>
    </row>
    <row r="31" spans="1:55" x14ac:dyDescent="0.25">
      <c r="A31" s="178"/>
      <c r="B31" s="244"/>
      <c r="C31" s="244"/>
      <c r="D31" s="244"/>
    </row>
    <row r="33" spans="2:4" x14ac:dyDescent="0.25">
      <c r="D33" s="241"/>
    </row>
    <row r="34" spans="2:4" x14ac:dyDescent="0.25">
      <c r="D34" s="241"/>
    </row>
    <row r="37" spans="2:4" x14ac:dyDescent="0.25">
      <c r="B37" s="244"/>
      <c r="C37" s="244"/>
      <c r="D37" s="244"/>
    </row>
    <row r="39" spans="2:4" x14ac:dyDescent="0.25">
      <c r="D39" s="241"/>
    </row>
    <row r="40" spans="2:4" x14ac:dyDescent="0.25">
      <c r="D40" s="241"/>
    </row>
  </sheetData>
  <sheetProtection algorithmName="SHA-512" hashValue="cAL3Xe9QVJwvAjjH+mlPWZJJ1D/qau399lFNaWzOax9iz86i/mfVvnAKVeHSM9FrsHcaPwvpV6jvuDLFmDay4Q==" saltValue="gPVWpF1ni/6WMQR+VYRHYw==" spinCount="100000" sheet="1" objects="1" scenarios="1"/>
  <mergeCells count="2">
    <mergeCell ref="B37:D37"/>
    <mergeCell ref="B31:D31"/>
  </mergeCells>
  <phoneticPr fontId="28"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A5B1-15F1-402E-860D-6A023E00184C}">
  <sheetPr>
    <tabColor theme="4"/>
  </sheetPr>
  <dimension ref="A1:K143"/>
  <sheetViews>
    <sheetView tabSelected="1" topLeftCell="A108" zoomScale="90" zoomScaleNormal="90" workbookViewId="0">
      <selection activeCell="K140" sqref="K140"/>
    </sheetView>
  </sheetViews>
  <sheetFormatPr defaultColWidth="9.140625" defaultRowHeight="15" x14ac:dyDescent="0.25"/>
  <cols>
    <col min="1" max="1" width="24.42578125" customWidth="1"/>
    <col min="2" max="2" width="40.140625" bestFit="1" customWidth="1"/>
    <col min="3" max="3" width="18.5703125" customWidth="1"/>
    <col min="4" max="4" width="28.42578125" customWidth="1"/>
    <col min="5" max="5" width="21.85546875" customWidth="1"/>
    <col min="6" max="17" width="15.5703125" customWidth="1"/>
    <col min="18" max="18" width="9.42578125" bestFit="1" customWidth="1"/>
  </cols>
  <sheetData>
    <row r="1" spans="1:11" s="2" customFormat="1" ht="15.75" x14ac:dyDescent="0.25">
      <c r="A1" s="128" t="s">
        <v>0</v>
      </c>
      <c r="C1" s="1"/>
      <c r="D1" s="1"/>
    </row>
    <row r="2" spans="1:11" s="6" customFormat="1" ht="12.75" x14ac:dyDescent="0.2">
      <c r="A2" s="180" t="str">
        <f>'1. Expenditures'!A2</f>
        <v>Reporting Date: July 31, 2025</v>
      </c>
      <c r="C2" s="5"/>
      <c r="D2" s="5"/>
      <c r="K2" s="26"/>
    </row>
    <row r="3" spans="1:11" s="6" customFormat="1" ht="12.75" x14ac:dyDescent="0.2">
      <c r="A3" s="181" t="str">
        <f>'1. Expenditures'!A3</f>
        <v>Reporting Data Through: June 30, 2025</v>
      </c>
      <c r="K3" s="26"/>
    </row>
    <row r="5" spans="1:11" s="6" customFormat="1" ht="12.75" x14ac:dyDescent="0.2"/>
    <row r="6" spans="1:11" ht="15.75" thickBot="1" x14ac:dyDescent="0.3">
      <c r="A6" s="23" t="s">
        <v>235</v>
      </c>
    </row>
    <row r="7" spans="1:11" ht="26.25" thickBot="1" x14ac:dyDescent="0.3">
      <c r="A7" s="43" t="s">
        <v>236</v>
      </c>
      <c r="B7" s="43" t="s">
        <v>237</v>
      </c>
      <c r="C7" s="43" t="s">
        <v>238</v>
      </c>
      <c r="D7" s="147" t="s">
        <v>239</v>
      </c>
      <c r="E7" s="167" t="s">
        <v>240</v>
      </c>
    </row>
    <row r="8" spans="1:11" x14ac:dyDescent="0.25">
      <c r="A8" s="217" t="s">
        <v>241</v>
      </c>
      <c r="B8" s="218" t="s">
        <v>242</v>
      </c>
      <c r="C8" s="79">
        <v>1934435</v>
      </c>
      <c r="D8" s="218">
        <v>2016</v>
      </c>
      <c r="E8" s="168">
        <f>C8</f>
        <v>1934435</v>
      </c>
    </row>
    <row r="9" spans="1:11" x14ac:dyDescent="0.25">
      <c r="A9" s="217" t="s">
        <v>241</v>
      </c>
      <c r="B9" s="218" t="s">
        <v>243</v>
      </c>
      <c r="C9" s="79">
        <v>4843456</v>
      </c>
      <c r="D9" s="218">
        <v>2017</v>
      </c>
      <c r="E9" s="168">
        <f>C9</f>
        <v>4843456</v>
      </c>
    </row>
    <row r="10" spans="1:11" x14ac:dyDescent="0.25">
      <c r="A10" s="217" t="s">
        <v>241</v>
      </c>
      <c r="B10" s="218" t="s">
        <v>244</v>
      </c>
      <c r="C10" s="79">
        <v>43700000</v>
      </c>
      <c r="D10" s="218">
        <v>2018</v>
      </c>
      <c r="E10" s="168">
        <f>C10</f>
        <v>43700000</v>
      </c>
    </row>
    <row r="11" spans="1:11" x14ac:dyDescent="0.25">
      <c r="A11" s="217" t="s">
        <v>241</v>
      </c>
      <c r="B11" s="218" t="s">
        <v>245</v>
      </c>
      <c r="C11" s="79">
        <v>37737000</v>
      </c>
      <c r="D11" s="218">
        <v>2019</v>
      </c>
      <c r="E11" s="168">
        <f>C11</f>
        <v>37737000</v>
      </c>
    </row>
    <row r="12" spans="1:11" x14ac:dyDescent="0.25">
      <c r="A12" s="217" t="s">
        <v>241</v>
      </c>
      <c r="B12" s="218" t="s">
        <v>246</v>
      </c>
      <c r="C12" s="79">
        <v>30685041</v>
      </c>
      <c r="D12" s="223" t="s">
        <v>247</v>
      </c>
      <c r="E12" s="169">
        <f>C12</f>
        <v>30685041</v>
      </c>
    </row>
    <row r="13" spans="1:11" x14ac:dyDescent="0.25">
      <c r="A13" s="217" t="s">
        <v>241</v>
      </c>
      <c r="B13" s="218" t="s">
        <v>248</v>
      </c>
      <c r="C13" s="79">
        <v>10117261</v>
      </c>
      <c r="D13" s="256">
        <v>2020</v>
      </c>
      <c r="E13" s="258">
        <f>SUM(C13:C15)</f>
        <v>38776228</v>
      </c>
    </row>
    <row r="14" spans="1:11" x14ac:dyDescent="0.25">
      <c r="A14" s="217" t="s">
        <v>241</v>
      </c>
      <c r="B14" s="218" t="s">
        <v>249</v>
      </c>
      <c r="C14" s="79">
        <v>7795632</v>
      </c>
      <c r="D14" s="260"/>
      <c r="E14" s="261"/>
    </row>
    <row r="15" spans="1:11" x14ac:dyDescent="0.25">
      <c r="A15" s="217" t="s">
        <v>250</v>
      </c>
      <c r="B15" s="218" t="s">
        <v>251</v>
      </c>
      <c r="C15" s="170">
        <v>20863335</v>
      </c>
      <c r="D15" s="257"/>
      <c r="E15" s="259"/>
    </row>
    <row r="16" spans="1:11" x14ac:dyDescent="0.25">
      <c r="A16" s="217" t="s">
        <v>250</v>
      </c>
      <c r="B16" s="218" t="s">
        <v>246</v>
      </c>
      <c r="C16" s="170">
        <v>4448942</v>
      </c>
      <c r="D16" s="223" t="s">
        <v>247</v>
      </c>
      <c r="E16" s="169">
        <f>C16</f>
        <v>4448942</v>
      </c>
    </row>
    <row r="17" spans="1:5" x14ac:dyDescent="0.25">
      <c r="A17" s="217" t="s">
        <v>250</v>
      </c>
      <c r="B17" s="218" t="s">
        <v>252</v>
      </c>
      <c r="C17" s="170">
        <v>7902300</v>
      </c>
      <c r="D17" s="256">
        <v>2021</v>
      </c>
      <c r="E17" s="262">
        <f>SUM(C17:C20)</f>
        <v>31609200</v>
      </c>
    </row>
    <row r="18" spans="1:5" x14ac:dyDescent="0.25">
      <c r="A18" s="217" t="s">
        <v>250</v>
      </c>
      <c r="B18" s="218" t="s">
        <v>253</v>
      </c>
      <c r="C18" s="170">
        <v>7902300</v>
      </c>
      <c r="D18" s="260"/>
      <c r="E18" s="262"/>
    </row>
    <row r="19" spans="1:5" x14ac:dyDescent="0.25">
      <c r="A19" s="217" t="s">
        <v>250</v>
      </c>
      <c r="B19" s="218" t="s">
        <v>254</v>
      </c>
      <c r="C19" s="170">
        <v>7902300</v>
      </c>
      <c r="D19" s="260"/>
      <c r="E19" s="262"/>
    </row>
    <row r="20" spans="1:5" x14ac:dyDescent="0.25">
      <c r="A20" s="217" t="s">
        <v>250</v>
      </c>
      <c r="B20" s="219" t="s">
        <v>255</v>
      </c>
      <c r="C20" s="186">
        <v>7902300</v>
      </c>
      <c r="D20" s="257"/>
      <c r="E20" s="262"/>
    </row>
    <row r="21" spans="1:5" x14ac:dyDescent="0.25">
      <c r="A21" s="217" t="s">
        <v>256</v>
      </c>
      <c r="B21" s="219" t="s">
        <v>257</v>
      </c>
      <c r="C21" s="186">
        <v>-186832</v>
      </c>
      <c r="D21" s="245">
        <v>2022</v>
      </c>
      <c r="E21" s="247">
        <f>SUM(C21:C25)</f>
        <v>46222340</v>
      </c>
    </row>
    <row r="22" spans="1:5" x14ac:dyDescent="0.25">
      <c r="A22" s="217" t="s">
        <v>256</v>
      </c>
      <c r="B22" s="218" t="s">
        <v>303</v>
      </c>
      <c r="C22" s="186">
        <v>11602293</v>
      </c>
      <c r="D22" s="245"/>
      <c r="E22" s="247"/>
    </row>
    <row r="23" spans="1:5" x14ac:dyDescent="0.25">
      <c r="A23" s="217" t="s">
        <v>256</v>
      </c>
      <c r="B23" s="218" t="s">
        <v>259</v>
      </c>
      <c r="C23" s="186">
        <v>11602293</v>
      </c>
      <c r="D23" s="245"/>
      <c r="E23" s="247"/>
    </row>
    <row r="24" spans="1:5" x14ac:dyDescent="0.25">
      <c r="A24" s="218" t="s">
        <v>256</v>
      </c>
      <c r="B24" s="220" t="s">
        <v>260</v>
      </c>
      <c r="C24" s="186">
        <v>11602293</v>
      </c>
      <c r="D24" s="245"/>
      <c r="E24" s="247"/>
    </row>
    <row r="25" spans="1:5" x14ac:dyDescent="0.25">
      <c r="A25" s="218" t="s">
        <v>256</v>
      </c>
      <c r="B25" s="221" t="s">
        <v>261</v>
      </c>
      <c r="C25" s="186">
        <v>11602293</v>
      </c>
      <c r="D25" s="245"/>
      <c r="E25" s="247"/>
    </row>
    <row r="26" spans="1:5" x14ac:dyDescent="0.25">
      <c r="A26" s="218" t="s">
        <v>359</v>
      </c>
      <c r="B26" s="221" t="s">
        <v>312</v>
      </c>
      <c r="C26" s="186">
        <v>2909317</v>
      </c>
      <c r="D26" s="256">
        <v>2023</v>
      </c>
      <c r="E26" s="247">
        <f>SUM(C26:C30)</f>
        <v>42666697</v>
      </c>
    </row>
    <row r="27" spans="1:5" x14ac:dyDescent="0.25">
      <c r="A27" s="218" t="s">
        <v>313</v>
      </c>
      <c r="B27" s="220" t="s">
        <v>308</v>
      </c>
      <c r="C27" s="186">
        <v>9939345</v>
      </c>
      <c r="D27" s="260"/>
      <c r="E27" s="247"/>
    </row>
    <row r="28" spans="1:5" x14ac:dyDescent="0.25">
      <c r="A28" s="218" t="s">
        <v>313</v>
      </c>
      <c r="B28" s="220" t="s">
        <v>309</v>
      </c>
      <c r="C28" s="186">
        <v>9939345</v>
      </c>
      <c r="D28" s="260"/>
      <c r="E28" s="247"/>
    </row>
    <row r="29" spans="1:5" x14ac:dyDescent="0.25">
      <c r="A29" s="218" t="s">
        <v>313</v>
      </c>
      <c r="B29" s="220" t="s">
        <v>310</v>
      </c>
      <c r="C29" s="186">
        <v>9939345</v>
      </c>
      <c r="D29" s="260"/>
      <c r="E29" s="247"/>
    </row>
    <row r="30" spans="1:5" x14ac:dyDescent="0.25">
      <c r="A30" s="219" t="s">
        <v>313</v>
      </c>
      <c r="B30" s="219" t="s">
        <v>311</v>
      </c>
      <c r="C30" s="198">
        <v>9939345</v>
      </c>
      <c r="D30" s="257"/>
      <c r="E30" s="258"/>
    </row>
    <row r="31" spans="1:5" x14ac:dyDescent="0.25">
      <c r="A31" s="219" t="s">
        <v>371</v>
      </c>
      <c r="B31" s="219" t="s">
        <v>318</v>
      </c>
      <c r="C31" s="198">
        <v>-11592609</v>
      </c>
      <c r="D31" s="256">
        <v>2024</v>
      </c>
      <c r="E31" s="258">
        <f>SUM(C31:C35)</f>
        <v>28164771</v>
      </c>
    </row>
    <row r="32" spans="1:5" x14ac:dyDescent="0.25">
      <c r="A32" s="219" t="s">
        <v>371</v>
      </c>
      <c r="B32" s="219" t="s">
        <v>319</v>
      </c>
      <c r="C32" s="198">
        <v>9939345</v>
      </c>
      <c r="D32" s="260"/>
      <c r="E32" s="261"/>
    </row>
    <row r="33" spans="1:5" x14ac:dyDescent="0.25">
      <c r="A33" s="219" t="s">
        <v>371</v>
      </c>
      <c r="B33" s="219" t="s">
        <v>320</v>
      </c>
      <c r="C33" s="198">
        <v>9939345</v>
      </c>
      <c r="D33" s="260"/>
      <c r="E33" s="261"/>
    </row>
    <row r="34" spans="1:5" x14ac:dyDescent="0.25">
      <c r="A34" s="219" t="s">
        <v>371</v>
      </c>
      <c r="B34" s="219" t="s">
        <v>345</v>
      </c>
      <c r="C34" s="198">
        <v>9939345</v>
      </c>
      <c r="D34" s="260"/>
      <c r="E34" s="261"/>
    </row>
    <row r="35" spans="1:5" x14ac:dyDescent="0.25">
      <c r="A35" s="219" t="s">
        <v>371</v>
      </c>
      <c r="B35" s="219" t="s">
        <v>346</v>
      </c>
      <c r="C35" s="198">
        <v>9939345</v>
      </c>
      <c r="D35" s="257"/>
      <c r="E35" s="259"/>
    </row>
    <row r="36" spans="1:5" x14ac:dyDescent="0.25">
      <c r="A36" s="218" t="s">
        <v>372</v>
      </c>
      <c r="B36" s="218" t="s">
        <v>360</v>
      </c>
      <c r="C36" s="186">
        <v>-5131012</v>
      </c>
      <c r="D36" s="250">
        <v>2025</v>
      </c>
      <c r="E36" s="247">
        <f>SUM(C36:C38)</f>
        <v>14747678</v>
      </c>
    </row>
    <row r="37" spans="1:5" x14ac:dyDescent="0.25">
      <c r="A37" s="218" t="s">
        <v>372</v>
      </c>
      <c r="B37" s="218" t="s">
        <v>361</v>
      </c>
      <c r="C37" s="186">
        <v>9939345</v>
      </c>
      <c r="D37" s="251"/>
      <c r="E37" s="247"/>
    </row>
    <row r="38" spans="1:5" ht="15.75" thickBot="1" x14ac:dyDescent="0.3">
      <c r="A38" s="222" t="s">
        <v>372</v>
      </c>
      <c r="B38" s="222" t="s">
        <v>362</v>
      </c>
      <c r="C38" s="208">
        <v>9939345</v>
      </c>
      <c r="D38" s="266"/>
      <c r="E38" s="248"/>
    </row>
    <row r="39" spans="1:5" ht="15.75" thickBot="1" x14ac:dyDescent="0.3">
      <c r="A39" s="171"/>
      <c r="B39" s="172"/>
      <c r="C39" s="192"/>
      <c r="D39" s="173" t="s">
        <v>262</v>
      </c>
      <c r="E39" s="210">
        <f>SUM(E8:E38)</f>
        <v>325535788</v>
      </c>
    </row>
    <row r="40" spans="1:5" x14ac:dyDescent="0.25">
      <c r="A40" s="174" t="s">
        <v>263</v>
      </c>
    </row>
    <row r="41" spans="1:5" x14ac:dyDescent="0.25">
      <c r="A41" s="174" t="s">
        <v>264</v>
      </c>
    </row>
    <row r="42" spans="1:5" x14ac:dyDescent="0.25">
      <c r="A42" s="174" t="s">
        <v>265</v>
      </c>
    </row>
    <row r="44" spans="1:5" ht="15.75" thickBot="1" x14ac:dyDescent="0.3">
      <c r="A44" s="23" t="s">
        <v>266</v>
      </c>
      <c r="D44" s="23"/>
    </row>
    <row r="45" spans="1:5" ht="26.25" thickBot="1" x14ac:dyDescent="0.3">
      <c r="A45" s="43" t="s">
        <v>236</v>
      </c>
      <c r="B45" s="43" t="s">
        <v>237</v>
      </c>
      <c r="C45" s="43" t="s">
        <v>238</v>
      </c>
      <c r="D45" s="147" t="s">
        <v>239</v>
      </c>
      <c r="E45" s="167" t="s">
        <v>240</v>
      </c>
    </row>
    <row r="46" spans="1:5" x14ac:dyDescent="0.25">
      <c r="A46" s="217" t="s">
        <v>321</v>
      </c>
      <c r="B46" s="218" t="s">
        <v>242</v>
      </c>
      <c r="C46" s="79">
        <v>3036945</v>
      </c>
      <c r="D46" s="218">
        <v>2016</v>
      </c>
      <c r="E46" s="168">
        <f>C46</f>
        <v>3036945</v>
      </c>
    </row>
    <row r="47" spans="1:5" x14ac:dyDescent="0.25">
      <c r="A47" s="217" t="s">
        <v>322</v>
      </c>
      <c r="B47" s="218" t="s">
        <v>243</v>
      </c>
      <c r="C47" s="80">
        <v>5040055</v>
      </c>
      <c r="D47" s="218">
        <v>2017</v>
      </c>
      <c r="E47" s="168">
        <f>C47</f>
        <v>5040055</v>
      </c>
    </row>
    <row r="48" spans="1:5" x14ac:dyDescent="0.25">
      <c r="A48" s="217" t="s">
        <v>323</v>
      </c>
      <c r="B48" s="218" t="s">
        <v>244</v>
      </c>
      <c r="C48" s="80">
        <v>46000000</v>
      </c>
      <c r="D48" s="218">
        <v>2018</v>
      </c>
      <c r="E48" s="168">
        <f>C48</f>
        <v>46000000</v>
      </c>
    </row>
    <row r="49" spans="1:5" x14ac:dyDescent="0.25">
      <c r="A49" s="217" t="s">
        <v>324</v>
      </c>
      <c r="B49" s="174" t="s">
        <v>325</v>
      </c>
      <c r="C49" s="80">
        <v>-6874217</v>
      </c>
      <c r="D49" s="256">
        <v>2019</v>
      </c>
      <c r="E49" s="258">
        <f>SUM(C49:C50)</f>
        <v>33979418</v>
      </c>
    </row>
    <row r="50" spans="1:5" x14ac:dyDescent="0.25">
      <c r="A50" s="217" t="s">
        <v>324</v>
      </c>
      <c r="B50" s="218" t="s">
        <v>245</v>
      </c>
      <c r="C50" s="80">
        <v>40853635</v>
      </c>
      <c r="D50" s="257"/>
      <c r="E50" s="259"/>
    </row>
    <row r="51" spans="1:5" x14ac:dyDescent="0.25">
      <c r="A51" s="217" t="s">
        <v>267</v>
      </c>
      <c r="B51" s="218" t="s">
        <v>246</v>
      </c>
      <c r="C51" s="79">
        <v>50602879</v>
      </c>
      <c r="D51" s="223" t="s">
        <v>247</v>
      </c>
      <c r="E51" s="169">
        <f>C51</f>
        <v>50602879</v>
      </c>
    </row>
    <row r="52" spans="1:5" x14ac:dyDescent="0.25">
      <c r="A52" s="217" t="s">
        <v>267</v>
      </c>
      <c r="B52" s="218" t="s">
        <v>268</v>
      </c>
      <c r="C52" s="79">
        <v>22678768</v>
      </c>
      <c r="D52" s="224">
        <v>2020</v>
      </c>
      <c r="E52" s="196">
        <f>SUM(C52:C52)</f>
        <v>22678768</v>
      </c>
    </row>
    <row r="53" spans="1:5" x14ac:dyDescent="0.25">
      <c r="A53" s="175" t="s">
        <v>317</v>
      </c>
      <c r="B53" s="175" t="s">
        <v>326</v>
      </c>
      <c r="C53" s="186">
        <v>19290585</v>
      </c>
      <c r="D53" s="256">
        <v>2021</v>
      </c>
      <c r="E53" s="258">
        <f>SUM(C53:C54)</f>
        <v>63966285</v>
      </c>
    </row>
    <row r="54" spans="1:5" x14ac:dyDescent="0.25">
      <c r="A54" s="218" t="s">
        <v>317</v>
      </c>
      <c r="B54" s="218" t="s">
        <v>269</v>
      </c>
      <c r="C54" s="186">
        <v>44675700</v>
      </c>
      <c r="D54" s="257"/>
      <c r="E54" s="259"/>
    </row>
    <row r="55" spans="1:5" x14ac:dyDescent="0.25">
      <c r="A55" s="219" t="s">
        <v>270</v>
      </c>
      <c r="B55" s="219" t="s">
        <v>271</v>
      </c>
      <c r="C55" s="186">
        <v>8291433</v>
      </c>
      <c r="D55" s="256">
        <v>2022</v>
      </c>
      <c r="E55" s="258">
        <f>SUM(C55:C56)</f>
        <v>73364564</v>
      </c>
    </row>
    <row r="56" spans="1:5" x14ac:dyDescent="0.25">
      <c r="A56" s="218" t="s">
        <v>270</v>
      </c>
      <c r="B56" s="218" t="s">
        <v>272</v>
      </c>
      <c r="C56" s="186">
        <v>65073131</v>
      </c>
      <c r="D56" s="257"/>
      <c r="E56" s="259"/>
    </row>
    <row r="57" spans="1:5" x14ac:dyDescent="0.25">
      <c r="A57" s="218" t="s">
        <v>314</v>
      </c>
      <c r="B57" s="218" t="s">
        <v>315</v>
      </c>
      <c r="C57" s="186">
        <v>46527856</v>
      </c>
      <c r="D57" s="256">
        <v>2023</v>
      </c>
      <c r="E57" s="262">
        <f>SUM(C57:C58)</f>
        <v>48710716</v>
      </c>
    </row>
    <row r="58" spans="1:5" x14ac:dyDescent="0.25">
      <c r="A58" s="218" t="s">
        <v>314</v>
      </c>
      <c r="B58" s="218" t="s">
        <v>327</v>
      </c>
      <c r="C58" s="186">
        <v>2182860</v>
      </c>
      <c r="D58" s="257"/>
      <c r="E58" s="262"/>
    </row>
    <row r="59" spans="1:5" x14ac:dyDescent="0.25">
      <c r="A59" s="218" t="s">
        <v>328</v>
      </c>
      <c r="B59" s="218" t="s">
        <v>363</v>
      </c>
      <c r="C59" s="186">
        <v>-18592218</v>
      </c>
      <c r="D59" s="256">
        <v>2024</v>
      </c>
      <c r="E59" s="263">
        <f>SUM(C59:C60)</f>
        <v>27935638</v>
      </c>
    </row>
    <row r="60" spans="1:5" x14ac:dyDescent="0.25">
      <c r="A60" s="218" t="s">
        <v>328</v>
      </c>
      <c r="B60" s="218" t="s">
        <v>329</v>
      </c>
      <c r="C60" s="186">
        <v>46527856</v>
      </c>
      <c r="D60" s="257"/>
      <c r="E60" s="263"/>
    </row>
    <row r="61" spans="1:5" x14ac:dyDescent="0.25">
      <c r="A61" s="218" t="s">
        <v>364</v>
      </c>
      <c r="B61" s="218" t="s">
        <v>365</v>
      </c>
      <c r="C61" s="186">
        <v>3681000</v>
      </c>
      <c r="D61" s="264">
        <v>2025</v>
      </c>
      <c r="E61" s="247">
        <f>SUM(C61:C62)</f>
        <v>50209000</v>
      </c>
    </row>
    <row r="62" spans="1:5" ht="15.75" thickBot="1" x14ac:dyDescent="0.3">
      <c r="A62" s="226" t="s">
        <v>364</v>
      </c>
      <c r="B62" s="226" t="s">
        <v>366</v>
      </c>
      <c r="C62" s="208">
        <v>46528000</v>
      </c>
      <c r="D62" s="265"/>
      <c r="E62" s="248"/>
    </row>
    <row r="63" spans="1:5" ht="15.75" thickBot="1" x14ac:dyDescent="0.3">
      <c r="A63" s="200"/>
      <c r="B63" s="192"/>
      <c r="C63" s="192"/>
      <c r="D63" s="173" t="s">
        <v>273</v>
      </c>
      <c r="E63" s="210">
        <f>SUM(E46:E62)</f>
        <v>425524268</v>
      </c>
    </row>
    <row r="64" spans="1:5" x14ac:dyDescent="0.25">
      <c r="A64" s="175" t="s">
        <v>274</v>
      </c>
    </row>
    <row r="65" spans="1:5" x14ac:dyDescent="0.25">
      <c r="A65" s="174" t="s">
        <v>275</v>
      </c>
    </row>
    <row r="66" spans="1:5" x14ac:dyDescent="0.25">
      <c r="A66" s="174" t="s">
        <v>276</v>
      </c>
    </row>
    <row r="68" spans="1:5" ht="15.75" thickBot="1" x14ac:dyDescent="0.3">
      <c r="A68" s="23" t="s">
        <v>277</v>
      </c>
      <c r="D68" s="23"/>
    </row>
    <row r="69" spans="1:5" ht="26.25" thickBot="1" x14ac:dyDescent="0.3">
      <c r="A69" s="43" t="s">
        <v>373</v>
      </c>
      <c r="B69" s="43" t="s">
        <v>237</v>
      </c>
      <c r="C69" s="43" t="s">
        <v>238</v>
      </c>
      <c r="D69" s="147" t="s">
        <v>239</v>
      </c>
      <c r="E69" s="167" t="s">
        <v>240</v>
      </c>
    </row>
    <row r="70" spans="1:5" x14ac:dyDescent="0.25">
      <c r="A70" s="217" t="s">
        <v>278</v>
      </c>
      <c r="B70" s="218" t="s">
        <v>242</v>
      </c>
      <c r="C70" s="79">
        <v>0</v>
      </c>
      <c r="D70" s="218">
        <v>2016</v>
      </c>
      <c r="E70" s="168">
        <f t="shared" ref="E70:E74" si="0">C70</f>
        <v>0</v>
      </c>
    </row>
    <row r="71" spans="1:5" x14ac:dyDescent="0.25">
      <c r="A71" s="217" t="s">
        <v>278</v>
      </c>
      <c r="B71" s="218" t="s">
        <v>243</v>
      </c>
      <c r="C71" s="80">
        <v>0</v>
      </c>
      <c r="D71" s="218">
        <v>2017</v>
      </c>
      <c r="E71" s="168">
        <f t="shared" si="0"/>
        <v>0</v>
      </c>
    </row>
    <row r="72" spans="1:5" x14ac:dyDescent="0.25">
      <c r="A72" s="217" t="s">
        <v>330</v>
      </c>
      <c r="B72" s="218" t="s">
        <v>244</v>
      </c>
      <c r="C72" s="80">
        <v>10300000</v>
      </c>
      <c r="D72" s="218">
        <v>2018</v>
      </c>
      <c r="E72" s="168">
        <f t="shared" si="0"/>
        <v>10300000</v>
      </c>
    </row>
    <row r="73" spans="1:5" x14ac:dyDescent="0.25">
      <c r="A73" s="217" t="s">
        <v>331</v>
      </c>
      <c r="B73" s="218" t="s">
        <v>245</v>
      </c>
      <c r="C73" s="79">
        <v>10115640</v>
      </c>
      <c r="D73" s="218">
        <v>2019</v>
      </c>
      <c r="E73" s="168">
        <f t="shared" si="0"/>
        <v>10115640</v>
      </c>
    </row>
    <row r="74" spans="1:5" x14ac:dyDescent="0.25">
      <c r="A74" s="217" t="s">
        <v>278</v>
      </c>
      <c r="B74" s="218" t="s">
        <v>246</v>
      </c>
      <c r="C74" s="79">
        <v>12604205</v>
      </c>
      <c r="D74" s="223" t="s">
        <v>247</v>
      </c>
      <c r="E74" s="169">
        <f t="shared" si="0"/>
        <v>12604205</v>
      </c>
    </row>
    <row r="75" spans="1:5" x14ac:dyDescent="0.25">
      <c r="A75" s="217" t="s">
        <v>278</v>
      </c>
      <c r="B75" s="218" t="s">
        <v>268</v>
      </c>
      <c r="C75" s="79">
        <v>5618639</v>
      </c>
      <c r="D75" s="256">
        <v>2020</v>
      </c>
      <c r="E75" s="258">
        <f>SUM(C75:C76)</f>
        <v>11438841</v>
      </c>
    </row>
    <row r="76" spans="1:5" x14ac:dyDescent="0.25">
      <c r="A76" s="217" t="s">
        <v>279</v>
      </c>
      <c r="B76" s="218" t="s">
        <v>251</v>
      </c>
      <c r="C76" s="170">
        <v>5820202</v>
      </c>
      <c r="D76" s="257"/>
      <c r="E76" s="259"/>
    </row>
    <row r="77" spans="1:5" x14ac:dyDescent="0.25">
      <c r="A77" s="227" t="s">
        <v>279</v>
      </c>
      <c r="B77" s="218" t="s">
        <v>280</v>
      </c>
      <c r="C77" s="186">
        <v>100486</v>
      </c>
      <c r="D77" s="245">
        <v>2021</v>
      </c>
      <c r="E77" s="247">
        <f>SUM(C77:C79)</f>
        <v>10923507</v>
      </c>
    </row>
    <row r="78" spans="1:5" x14ac:dyDescent="0.25">
      <c r="A78" s="218" t="s">
        <v>279</v>
      </c>
      <c r="B78" s="218" t="s">
        <v>281</v>
      </c>
      <c r="C78" s="186">
        <v>-760623</v>
      </c>
      <c r="D78" s="245"/>
      <c r="E78" s="247"/>
    </row>
    <row r="79" spans="1:5" x14ac:dyDescent="0.25">
      <c r="A79" s="218" t="s">
        <v>279</v>
      </c>
      <c r="B79" s="218" t="s">
        <v>269</v>
      </c>
      <c r="C79" s="186">
        <v>11583644</v>
      </c>
      <c r="D79" s="245"/>
      <c r="E79" s="247"/>
    </row>
    <row r="80" spans="1:5" x14ac:dyDescent="0.25">
      <c r="A80" s="218" t="s">
        <v>282</v>
      </c>
      <c r="B80" s="218" t="s">
        <v>332</v>
      </c>
      <c r="C80" s="186">
        <v>-209026</v>
      </c>
      <c r="D80" s="245">
        <v>2022</v>
      </c>
      <c r="E80" s="247">
        <f>SUM(C80:C81)</f>
        <v>20583076</v>
      </c>
    </row>
    <row r="81" spans="1:5" x14ac:dyDescent="0.25">
      <c r="A81" s="218" t="s">
        <v>282</v>
      </c>
      <c r="B81" s="218" t="s">
        <v>272</v>
      </c>
      <c r="C81" s="186">
        <f>19440352+1351750</f>
        <v>20792102</v>
      </c>
      <c r="D81" s="245">
        <v>2022</v>
      </c>
      <c r="E81" s="247"/>
    </row>
    <row r="82" spans="1:5" x14ac:dyDescent="0.25">
      <c r="A82" s="218" t="s">
        <v>316</v>
      </c>
      <c r="B82" s="218" t="s">
        <v>312</v>
      </c>
      <c r="C82" s="186">
        <v>2933967</v>
      </c>
      <c r="D82" s="245">
        <v>2023</v>
      </c>
      <c r="E82" s="247">
        <f>SUM(C82:C83)</f>
        <v>14949939</v>
      </c>
    </row>
    <row r="83" spans="1:5" x14ac:dyDescent="0.25">
      <c r="A83" s="218" t="s">
        <v>316</v>
      </c>
      <c r="B83" s="218" t="s">
        <v>315</v>
      </c>
      <c r="C83" s="198">
        <v>12015972</v>
      </c>
      <c r="D83" s="256"/>
      <c r="E83" s="247"/>
    </row>
    <row r="84" spans="1:5" x14ac:dyDescent="0.25">
      <c r="A84" s="218" t="s">
        <v>367</v>
      </c>
      <c r="B84" s="218" t="s">
        <v>368</v>
      </c>
      <c r="C84" s="228">
        <v>-7242206</v>
      </c>
      <c r="D84" s="245">
        <v>2024</v>
      </c>
      <c r="E84" s="267">
        <f>SUM(C84:C85)</f>
        <v>4773766</v>
      </c>
    </row>
    <row r="85" spans="1:5" x14ac:dyDescent="0.25">
      <c r="A85" s="219" t="s">
        <v>347</v>
      </c>
      <c r="B85" s="219" t="s">
        <v>329</v>
      </c>
      <c r="C85" s="229">
        <v>12015972</v>
      </c>
      <c r="D85" s="245"/>
      <c r="E85" s="267"/>
    </row>
    <row r="86" spans="1:5" x14ac:dyDescent="0.25">
      <c r="A86" s="218" t="s">
        <v>367</v>
      </c>
      <c r="B86" s="218" t="s">
        <v>360</v>
      </c>
      <c r="C86" s="228">
        <v>1614663</v>
      </c>
      <c r="D86" s="245">
        <v>2025</v>
      </c>
      <c r="E86" s="247">
        <f>SUM(C86:C87)</f>
        <v>13630635</v>
      </c>
    </row>
    <row r="87" spans="1:5" ht="15.75" thickBot="1" x14ac:dyDescent="0.3">
      <c r="A87" s="226" t="s">
        <v>367</v>
      </c>
      <c r="B87" s="226" t="s">
        <v>366</v>
      </c>
      <c r="C87" s="230">
        <v>12015972</v>
      </c>
      <c r="D87" s="246"/>
      <c r="E87" s="248"/>
    </row>
    <row r="88" spans="1:5" ht="15.75" thickBot="1" x14ac:dyDescent="0.3">
      <c r="A88" s="200"/>
      <c r="B88" s="192"/>
      <c r="C88" s="192"/>
      <c r="D88" s="207" t="s">
        <v>283</v>
      </c>
      <c r="E88" s="210">
        <f>SUM(E70:E87)</f>
        <v>109319609</v>
      </c>
    </row>
    <row r="89" spans="1:5" x14ac:dyDescent="0.25">
      <c r="A89" s="175" t="s">
        <v>284</v>
      </c>
    </row>
    <row r="90" spans="1:5" x14ac:dyDescent="0.25">
      <c r="A90" s="174" t="s">
        <v>285</v>
      </c>
    </row>
    <row r="91" spans="1:5" x14ac:dyDescent="0.25">
      <c r="A91" s="174" t="s">
        <v>286</v>
      </c>
    </row>
    <row r="93" spans="1:5" ht="15.75" thickBot="1" x14ac:dyDescent="0.3">
      <c r="A93" s="23" t="s">
        <v>287</v>
      </c>
      <c r="D93" s="23"/>
    </row>
    <row r="94" spans="1:5" ht="26.25" thickBot="1" x14ac:dyDescent="0.3">
      <c r="A94" s="43" t="s">
        <v>373</v>
      </c>
      <c r="B94" s="43" t="s">
        <v>237</v>
      </c>
      <c r="C94" s="43" t="s">
        <v>238</v>
      </c>
      <c r="D94" s="147" t="s">
        <v>288</v>
      </c>
      <c r="E94" s="167" t="s">
        <v>240</v>
      </c>
    </row>
    <row r="95" spans="1:5" x14ac:dyDescent="0.25">
      <c r="A95" s="217" t="s">
        <v>289</v>
      </c>
      <c r="B95" s="218" t="s">
        <v>242</v>
      </c>
      <c r="C95" s="79">
        <v>469381</v>
      </c>
      <c r="D95" s="218">
        <v>2016</v>
      </c>
      <c r="E95" s="168">
        <f>C95</f>
        <v>469381</v>
      </c>
    </row>
    <row r="96" spans="1:5" x14ac:dyDescent="0.25">
      <c r="A96" s="217" t="s">
        <v>289</v>
      </c>
      <c r="B96" s="218" t="s">
        <v>243</v>
      </c>
      <c r="C96" s="80">
        <v>1068101</v>
      </c>
      <c r="D96" s="218">
        <v>2017</v>
      </c>
      <c r="E96" s="168">
        <f>C96</f>
        <v>1068101</v>
      </c>
    </row>
    <row r="97" spans="1:5" x14ac:dyDescent="0.25">
      <c r="A97" s="217" t="s">
        <v>289</v>
      </c>
      <c r="B97" s="218" t="s">
        <v>244</v>
      </c>
      <c r="C97" s="80">
        <v>1121680</v>
      </c>
      <c r="D97" s="218">
        <v>2018</v>
      </c>
      <c r="E97" s="168">
        <f>C97</f>
        <v>1121680</v>
      </c>
    </row>
    <row r="98" spans="1:5" x14ac:dyDescent="0.25">
      <c r="A98" s="217" t="s">
        <v>289</v>
      </c>
      <c r="B98" s="218" t="s">
        <v>245</v>
      </c>
      <c r="C98" s="79">
        <v>1278364</v>
      </c>
      <c r="D98" s="218">
        <v>2019</v>
      </c>
      <c r="E98" s="168">
        <f>C98</f>
        <v>1278364</v>
      </c>
    </row>
    <row r="99" spans="1:5" x14ac:dyDescent="0.25">
      <c r="A99" s="217" t="s">
        <v>289</v>
      </c>
      <c r="B99" s="218" t="s">
        <v>246</v>
      </c>
      <c r="C99" s="79">
        <v>0</v>
      </c>
      <c r="D99" s="223" t="s">
        <v>247</v>
      </c>
      <c r="E99" s="169">
        <f>C99</f>
        <v>0</v>
      </c>
    </row>
    <row r="100" spans="1:5" x14ac:dyDescent="0.25">
      <c r="A100" s="217" t="s">
        <v>289</v>
      </c>
      <c r="B100" s="218" t="s">
        <v>268</v>
      </c>
      <c r="C100" s="79">
        <v>607264</v>
      </c>
      <c r="D100" s="256">
        <v>2020</v>
      </c>
      <c r="E100" s="258">
        <f>SUM(C100:C101)</f>
        <v>1308215</v>
      </c>
    </row>
    <row r="101" spans="1:5" x14ac:dyDescent="0.25">
      <c r="A101" s="217" t="s">
        <v>290</v>
      </c>
      <c r="B101" s="218" t="s">
        <v>251</v>
      </c>
      <c r="C101" s="170">
        <v>700951</v>
      </c>
      <c r="D101" s="257"/>
      <c r="E101" s="259"/>
    </row>
    <row r="102" spans="1:5" x14ac:dyDescent="0.25">
      <c r="A102" s="217" t="s">
        <v>290</v>
      </c>
      <c r="B102" s="218" t="s">
        <v>252</v>
      </c>
      <c r="C102" s="186">
        <v>244604</v>
      </c>
      <c r="D102" s="245">
        <v>2021</v>
      </c>
      <c r="E102" s="247">
        <f>SUM(C102:C105)</f>
        <v>1211480</v>
      </c>
    </row>
    <row r="103" spans="1:5" x14ac:dyDescent="0.25">
      <c r="A103" s="217" t="s">
        <v>290</v>
      </c>
      <c r="B103" s="218" t="s">
        <v>253</v>
      </c>
      <c r="C103" s="186">
        <v>258346</v>
      </c>
      <c r="D103" s="245"/>
      <c r="E103" s="247"/>
    </row>
    <row r="104" spans="1:5" x14ac:dyDescent="0.25">
      <c r="A104" s="217" t="s">
        <v>290</v>
      </c>
      <c r="B104" s="218" t="s">
        <v>254</v>
      </c>
      <c r="C104" s="186">
        <v>320184</v>
      </c>
      <c r="D104" s="245"/>
      <c r="E104" s="247"/>
    </row>
    <row r="105" spans="1:5" x14ac:dyDescent="0.25">
      <c r="A105" s="218" t="s">
        <v>290</v>
      </c>
      <c r="B105" s="219" t="s">
        <v>255</v>
      </c>
      <c r="C105" s="186">
        <v>388346</v>
      </c>
      <c r="D105" s="245"/>
      <c r="E105" s="247"/>
    </row>
    <row r="106" spans="1:5" x14ac:dyDescent="0.25">
      <c r="A106" s="218" t="s">
        <v>307</v>
      </c>
      <c r="B106" s="218" t="s">
        <v>312</v>
      </c>
      <c r="C106" s="186">
        <v>124644</v>
      </c>
      <c r="D106" s="256">
        <v>2022</v>
      </c>
      <c r="E106" s="258">
        <f>SUM(C106:C110)</f>
        <v>1680958</v>
      </c>
    </row>
    <row r="107" spans="1:5" x14ac:dyDescent="0.25">
      <c r="A107" s="218" t="s">
        <v>291</v>
      </c>
      <c r="B107" s="218" t="s">
        <v>258</v>
      </c>
      <c r="C107" s="186">
        <v>398652</v>
      </c>
      <c r="D107" s="260"/>
      <c r="E107" s="261"/>
    </row>
    <row r="108" spans="1:5" x14ac:dyDescent="0.25">
      <c r="A108" s="218" t="s">
        <v>291</v>
      </c>
      <c r="B108" s="218" t="s">
        <v>259</v>
      </c>
      <c r="C108" s="186">
        <v>421902</v>
      </c>
      <c r="D108" s="260"/>
      <c r="E108" s="261"/>
    </row>
    <row r="109" spans="1:5" x14ac:dyDescent="0.25">
      <c r="A109" s="218" t="s">
        <v>291</v>
      </c>
      <c r="B109" s="219" t="s">
        <v>260</v>
      </c>
      <c r="C109" s="186">
        <v>369249</v>
      </c>
      <c r="D109" s="260"/>
      <c r="E109" s="261"/>
    </row>
    <row r="110" spans="1:5" x14ac:dyDescent="0.25">
      <c r="A110" s="218" t="s">
        <v>291</v>
      </c>
      <c r="B110" s="218" t="s">
        <v>261</v>
      </c>
      <c r="C110" s="186">
        <v>366511</v>
      </c>
      <c r="D110" s="257"/>
      <c r="E110" s="259"/>
    </row>
    <row r="111" spans="1:5" x14ac:dyDescent="0.25">
      <c r="A111" s="218" t="s">
        <v>307</v>
      </c>
      <c r="B111" s="218" t="s">
        <v>308</v>
      </c>
      <c r="C111" s="186">
        <v>376267</v>
      </c>
      <c r="D111" s="245">
        <v>2023</v>
      </c>
      <c r="E111" s="249">
        <f>SUM(C111:C114)</f>
        <v>1784879</v>
      </c>
    </row>
    <row r="112" spans="1:5" x14ac:dyDescent="0.25">
      <c r="A112" s="218" t="s">
        <v>307</v>
      </c>
      <c r="B112" s="218" t="s">
        <v>309</v>
      </c>
      <c r="C112" s="186">
        <v>409773</v>
      </c>
      <c r="D112" s="245"/>
      <c r="E112" s="249"/>
    </row>
    <row r="113" spans="1:5" x14ac:dyDescent="0.25">
      <c r="A113" s="218" t="s">
        <v>307</v>
      </c>
      <c r="B113" s="218" t="s">
        <v>310</v>
      </c>
      <c r="C113" s="186">
        <v>475570</v>
      </c>
      <c r="D113" s="245"/>
      <c r="E113" s="249"/>
    </row>
    <row r="114" spans="1:5" x14ac:dyDescent="0.25">
      <c r="A114" s="219" t="s">
        <v>307</v>
      </c>
      <c r="B114" s="219" t="s">
        <v>311</v>
      </c>
      <c r="C114" s="198">
        <v>523269</v>
      </c>
      <c r="D114" s="245"/>
      <c r="E114" s="249"/>
    </row>
    <row r="115" spans="1:5" x14ac:dyDescent="0.25">
      <c r="A115" s="218" t="s">
        <v>348</v>
      </c>
      <c r="B115" s="218" t="s">
        <v>319</v>
      </c>
      <c r="C115" s="186">
        <v>548538</v>
      </c>
      <c r="D115" s="250">
        <v>2024</v>
      </c>
      <c r="E115" s="253">
        <f>SUM(C115:C118)</f>
        <v>1851192</v>
      </c>
    </row>
    <row r="116" spans="1:5" x14ac:dyDescent="0.25">
      <c r="A116" s="218" t="s">
        <v>348</v>
      </c>
      <c r="B116" s="218" t="s">
        <v>320</v>
      </c>
      <c r="C116" s="186">
        <v>486276</v>
      </c>
      <c r="D116" s="251"/>
      <c r="E116" s="254"/>
    </row>
    <row r="117" spans="1:5" x14ac:dyDescent="0.25">
      <c r="A117" s="218" t="s">
        <v>348</v>
      </c>
      <c r="B117" s="218" t="s">
        <v>345</v>
      </c>
      <c r="C117" s="198">
        <v>397218</v>
      </c>
      <c r="D117" s="251"/>
      <c r="E117" s="254"/>
    </row>
    <row r="118" spans="1:5" x14ac:dyDescent="0.25">
      <c r="A118" s="217" t="s">
        <v>348</v>
      </c>
      <c r="B118" s="217" t="s">
        <v>346</v>
      </c>
      <c r="C118" s="186">
        <v>419160</v>
      </c>
      <c r="D118" s="252"/>
      <c r="E118" s="255"/>
    </row>
    <row r="119" spans="1:5" ht="15.75" thickBot="1" x14ac:dyDescent="0.3">
      <c r="A119" s="226" t="s">
        <v>369</v>
      </c>
      <c r="B119" s="226" t="s">
        <v>361</v>
      </c>
      <c r="C119" s="208">
        <v>380469</v>
      </c>
      <c r="D119" s="231">
        <v>2025</v>
      </c>
      <c r="E119" s="232">
        <f>SUM(C119:C119)</f>
        <v>380469</v>
      </c>
    </row>
    <row r="120" spans="1:5" ht="15.75" thickBot="1" x14ac:dyDescent="0.3">
      <c r="A120" s="200"/>
      <c r="B120" s="192"/>
      <c r="C120" s="192"/>
      <c r="D120" s="207" t="s">
        <v>292</v>
      </c>
      <c r="E120" s="210">
        <f>SUM(E95:E119)</f>
        <v>12154719</v>
      </c>
    </row>
    <row r="121" spans="1:5" x14ac:dyDescent="0.25">
      <c r="A121" s="175" t="s">
        <v>293</v>
      </c>
      <c r="C121" s="176"/>
      <c r="D121" s="177"/>
      <c r="E121" s="176"/>
    </row>
    <row r="122" spans="1:5" x14ac:dyDescent="0.25">
      <c r="A122" s="175" t="s">
        <v>294</v>
      </c>
      <c r="C122" s="176"/>
      <c r="D122" s="177"/>
      <c r="E122" s="176"/>
    </row>
    <row r="123" spans="1:5" x14ac:dyDescent="0.25">
      <c r="A123" s="174" t="s">
        <v>295</v>
      </c>
    </row>
    <row r="125" spans="1:5" ht="15.75" thickBot="1" x14ac:dyDescent="0.3">
      <c r="A125" s="23" t="s">
        <v>296</v>
      </c>
      <c r="D125" s="23"/>
    </row>
    <row r="126" spans="1:5" ht="26.25" thickBot="1" x14ac:dyDescent="0.3">
      <c r="A126" s="43" t="s">
        <v>373</v>
      </c>
      <c r="B126" s="43" t="s">
        <v>237</v>
      </c>
      <c r="C126" s="43" t="s">
        <v>238</v>
      </c>
      <c r="D126" s="147" t="s">
        <v>288</v>
      </c>
      <c r="E126" s="167" t="s">
        <v>297</v>
      </c>
    </row>
    <row r="127" spans="1:5" x14ac:dyDescent="0.25">
      <c r="A127" s="217" t="s">
        <v>333</v>
      </c>
      <c r="B127" s="218" t="s">
        <v>242</v>
      </c>
      <c r="C127" s="79">
        <v>147156</v>
      </c>
      <c r="D127" s="218">
        <v>2016</v>
      </c>
      <c r="E127" s="168">
        <f>C127</f>
        <v>147156</v>
      </c>
    </row>
    <row r="128" spans="1:5" x14ac:dyDescent="0.25">
      <c r="A128" s="218" t="s">
        <v>333</v>
      </c>
      <c r="B128" s="218" t="s">
        <v>243</v>
      </c>
      <c r="C128" s="80">
        <v>287032</v>
      </c>
      <c r="D128" s="218">
        <v>2017</v>
      </c>
      <c r="E128" s="168">
        <f>C128</f>
        <v>287032</v>
      </c>
    </row>
    <row r="129" spans="1:5" x14ac:dyDescent="0.25">
      <c r="A129" s="218" t="s">
        <v>333</v>
      </c>
      <c r="B129" s="218" t="s">
        <v>244</v>
      </c>
      <c r="C129" s="80">
        <v>349673</v>
      </c>
      <c r="D129" s="218">
        <v>2018</v>
      </c>
      <c r="E129" s="168">
        <f>C129</f>
        <v>349673</v>
      </c>
    </row>
    <row r="130" spans="1:5" x14ac:dyDescent="0.25">
      <c r="A130" s="217" t="s">
        <v>298</v>
      </c>
      <c r="B130" s="218" t="s">
        <v>245</v>
      </c>
      <c r="C130" s="79">
        <v>466130</v>
      </c>
      <c r="D130" s="218">
        <v>2019</v>
      </c>
      <c r="E130" s="168">
        <f>C130</f>
        <v>466130</v>
      </c>
    </row>
    <row r="131" spans="1:5" x14ac:dyDescent="0.25">
      <c r="A131" s="217" t="s">
        <v>298</v>
      </c>
      <c r="B131" s="218" t="s">
        <v>246</v>
      </c>
      <c r="C131" s="79">
        <v>0</v>
      </c>
      <c r="D131" s="223" t="s">
        <v>247</v>
      </c>
      <c r="E131" s="169">
        <f>C131</f>
        <v>0</v>
      </c>
    </row>
    <row r="132" spans="1:5" x14ac:dyDescent="0.25">
      <c r="A132" s="217" t="s">
        <v>298</v>
      </c>
      <c r="B132" s="218" t="s">
        <v>268</v>
      </c>
      <c r="C132" s="79">
        <v>164842</v>
      </c>
      <c r="D132" s="256">
        <v>2020</v>
      </c>
      <c r="E132" s="258">
        <f>SUM(C132:C133)</f>
        <v>362585</v>
      </c>
    </row>
    <row r="133" spans="1:5" x14ac:dyDescent="0.25">
      <c r="A133" s="217" t="s">
        <v>298</v>
      </c>
      <c r="B133" s="218" t="s">
        <v>251</v>
      </c>
      <c r="C133" s="170">
        <v>197743</v>
      </c>
      <c r="D133" s="257"/>
      <c r="E133" s="259"/>
    </row>
    <row r="134" spans="1:5" x14ac:dyDescent="0.25">
      <c r="A134" s="217" t="s">
        <v>299</v>
      </c>
      <c r="B134" s="218" t="s">
        <v>269</v>
      </c>
      <c r="C134" s="186">
        <v>333475</v>
      </c>
      <c r="D134" s="225">
        <v>2021</v>
      </c>
      <c r="E134" s="191">
        <f>C134</f>
        <v>333475</v>
      </c>
    </row>
    <row r="135" spans="1:5" x14ac:dyDescent="0.25">
      <c r="A135" s="218" t="s">
        <v>304</v>
      </c>
      <c r="B135" s="219" t="s">
        <v>334</v>
      </c>
      <c r="C135" s="198">
        <v>9079</v>
      </c>
      <c r="D135" s="256">
        <v>2022</v>
      </c>
      <c r="E135" s="258">
        <f>SUM(C135:C136)</f>
        <v>446231</v>
      </c>
    </row>
    <row r="136" spans="1:5" x14ac:dyDescent="0.25">
      <c r="A136" s="218" t="s">
        <v>304</v>
      </c>
      <c r="B136" s="219" t="s">
        <v>272</v>
      </c>
      <c r="C136" s="198">
        <v>437152</v>
      </c>
      <c r="D136" s="257"/>
      <c r="E136" s="259"/>
    </row>
    <row r="137" spans="1:5" x14ac:dyDescent="0.25">
      <c r="A137" s="218" t="s">
        <v>335</v>
      </c>
      <c r="B137" s="219" t="s">
        <v>336</v>
      </c>
      <c r="C137" s="198">
        <v>-67560</v>
      </c>
      <c r="D137" s="256">
        <v>2023</v>
      </c>
      <c r="E137" s="258">
        <f>SUM(C137:C138)</f>
        <v>332411</v>
      </c>
    </row>
    <row r="138" spans="1:5" ht="15.75" thickBot="1" x14ac:dyDescent="0.3">
      <c r="A138" s="219" t="s">
        <v>335</v>
      </c>
      <c r="B138" s="219" t="s">
        <v>315</v>
      </c>
      <c r="C138" s="198">
        <v>399971</v>
      </c>
      <c r="D138" s="260"/>
      <c r="E138" s="261"/>
    </row>
    <row r="139" spans="1:5" ht="15.75" thickBot="1" x14ac:dyDescent="0.3">
      <c r="A139" s="171"/>
      <c r="B139" s="172"/>
      <c r="C139" s="172"/>
      <c r="D139" s="173" t="s">
        <v>375</v>
      </c>
      <c r="E139" s="197">
        <f>SUM(E127:E138)</f>
        <v>2724693</v>
      </c>
    </row>
    <row r="140" spans="1:5" x14ac:dyDescent="0.25">
      <c r="A140" s="175" t="s">
        <v>300</v>
      </c>
    </row>
    <row r="141" spans="1:5" x14ac:dyDescent="0.25">
      <c r="A141" s="174" t="s">
        <v>301</v>
      </c>
    </row>
    <row r="142" spans="1:5" x14ac:dyDescent="0.25">
      <c r="A142" s="174" t="s">
        <v>302</v>
      </c>
    </row>
    <row r="143" spans="1:5" x14ac:dyDescent="0.25">
      <c r="A143" s="240" t="s">
        <v>376</v>
      </c>
    </row>
  </sheetData>
  <sheetProtection algorithmName="SHA-512" hashValue="XFu0PFhrgncWltWkPSwn9aNNWIHZr0pQwWZ59ASHnL6JyWFPnyiQXbxK5zPdCjIojsNZ5hwnNsnIARKzOyx/jA==" saltValue="aZ8UBbbl1vkG8ETSNwlvIQ==" spinCount="100000" sheet="1" objects="1" scenarios="1"/>
  <mergeCells count="52">
    <mergeCell ref="D137:D138"/>
    <mergeCell ref="E137:E138"/>
    <mergeCell ref="D49:D50"/>
    <mergeCell ref="E49:E50"/>
    <mergeCell ref="D82:D83"/>
    <mergeCell ref="E82:E83"/>
    <mergeCell ref="D84:D85"/>
    <mergeCell ref="E84:E85"/>
    <mergeCell ref="D135:D136"/>
    <mergeCell ref="E135:E136"/>
    <mergeCell ref="D132:D133"/>
    <mergeCell ref="E132:E133"/>
    <mergeCell ref="D53:D54"/>
    <mergeCell ref="E53:E54"/>
    <mergeCell ref="D55:D56"/>
    <mergeCell ref="E55:E56"/>
    <mergeCell ref="D13:D15"/>
    <mergeCell ref="E13:E15"/>
    <mergeCell ref="D17:D20"/>
    <mergeCell ref="E17:E20"/>
    <mergeCell ref="D21:D25"/>
    <mergeCell ref="E21:E25"/>
    <mergeCell ref="D26:D30"/>
    <mergeCell ref="E26:E30"/>
    <mergeCell ref="D31:D35"/>
    <mergeCell ref="E31:E35"/>
    <mergeCell ref="D36:D38"/>
    <mergeCell ref="E36:E38"/>
    <mergeCell ref="D57:D58"/>
    <mergeCell ref="E57:E58"/>
    <mergeCell ref="D59:D60"/>
    <mergeCell ref="E59:E60"/>
    <mergeCell ref="D61:D62"/>
    <mergeCell ref="E61:E62"/>
    <mergeCell ref="D75:D76"/>
    <mergeCell ref="E75:E76"/>
    <mergeCell ref="D77:D79"/>
    <mergeCell ref="E77:E79"/>
    <mergeCell ref="D80:D81"/>
    <mergeCell ref="E80:E81"/>
    <mergeCell ref="D86:D87"/>
    <mergeCell ref="E86:E87"/>
    <mergeCell ref="D111:D114"/>
    <mergeCell ref="E111:E114"/>
    <mergeCell ref="D115:D118"/>
    <mergeCell ref="E115:E118"/>
    <mergeCell ref="D100:D101"/>
    <mergeCell ref="E100:E101"/>
    <mergeCell ref="D102:D105"/>
    <mergeCell ref="E102:E105"/>
    <mergeCell ref="D106:D110"/>
    <mergeCell ref="E106:E110"/>
  </mergeCells>
  <phoneticPr fontId="2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Expenditures</vt:lpstr>
      <vt:lpstr>2. Program Funding</vt:lpstr>
      <vt:lpstr>3. SOMAH Program Admin</vt:lpstr>
      <vt:lpstr>4. SOMAH Marketing &amp; Outreach</vt:lpstr>
      <vt:lpstr>5. SOMAH Workforce Development</vt:lpstr>
      <vt:lpstr>6. SOMAH Technical Assistance</vt:lpstr>
      <vt:lpstr>7. Incentive Payments</vt:lpstr>
      <vt:lpstr>8. IOU Collections Details</vt:lpstr>
      <vt:lpstr>'2. Program Funding'!TotalAdminBudget</vt:lpstr>
      <vt:lpstr>'2. Program Funding'!TotalIncentiveBudget</vt:lpstr>
    </vt:vector>
  </TitlesOfParts>
  <Manager/>
  <Company>CCSE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Katrina Morton</dc:creator>
  <cp:keywords/>
  <dc:description/>
  <cp:lastModifiedBy>Luke Ballweber</cp:lastModifiedBy>
  <cp:revision/>
  <dcterms:created xsi:type="dcterms:W3CDTF">2014-07-08T17:28:09Z</dcterms:created>
  <dcterms:modified xsi:type="dcterms:W3CDTF">2025-07-25T17:51:35Z</dcterms:modified>
  <cp:category/>
  <cp:contentStatus/>
</cp:coreProperties>
</file>