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defaultThemeVersion="166925"/>
  <mc:AlternateContent xmlns:mc="http://schemas.openxmlformats.org/markup-compatibility/2006">
    <mc:Choice Requires="x15">
      <x15ac:absPath xmlns:x15ac="http://schemas.microsoft.com/office/spreadsheetml/2010/11/ac" url="https://pge.sharepoint.com/sites/CSD/AFV_TransElectSB350_2016/Restricted Documents/EV OIR (R.18-12-006)/Discovery/ED/ED_029/"/>
    </mc:Choice>
  </mc:AlternateContent>
  <xr:revisionPtr revIDLastSave="0" documentId="8_{91FD50B1-EBCD-4976-9160-429D88B6E44B}" xr6:coauthVersionLast="47" xr6:coauthVersionMax="47" xr10:uidLastSave="{00000000-0000-0000-0000-000000000000}"/>
  <bookViews>
    <workbookView xWindow="-120" yWindow="-120" windowWidth="19440" windowHeight="11160" xr2:uid="{EB2265ED-DA90-42D0-9632-A413286BF404}"/>
  </bookViews>
  <sheets>
    <sheet name="Budget Template" sheetId="1" r:id="rId1"/>
    <sheet name="Sheet1" sheetId="3" r:id="rId2"/>
    <sheet name="Definition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 l="1"/>
  <c r="E58" i="1"/>
  <c r="F58" i="1"/>
  <c r="C58" i="1"/>
  <c r="G9" i="3"/>
  <c r="E27" i="1"/>
  <c r="D27" i="1"/>
  <c r="E14" i="1"/>
  <c r="D14" i="1"/>
  <c r="E13" i="1"/>
  <c r="D13" i="1"/>
  <c r="E32" i="1"/>
  <c r="D32" i="1"/>
  <c r="F32" i="1"/>
  <c r="C52" i="1"/>
  <c r="C53" i="1"/>
  <c r="C54" i="1"/>
  <c r="C50" i="1"/>
  <c r="F51" i="1"/>
  <c r="F55" i="1" s="1"/>
  <c r="E51" i="1"/>
  <c r="E55" i="1" s="1"/>
  <c r="C49" i="1"/>
  <c r="C48" i="1"/>
  <c r="C47" i="1"/>
  <c r="F46" i="1"/>
  <c r="C42" i="1"/>
  <c r="F39" i="1"/>
  <c r="E39" i="1"/>
  <c r="D39" i="1"/>
  <c r="C38" i="1"/>
  <c r="C33" i="1"/>
  <c r="E46" i="1"/>
  <c r="D46" i="1"/>
  <c r="C37" i="1"/>
  <c r="C36" i="1"/>
  <c r="C41" i="1"/>
  <c r="C40" i="1"/>
  <c r="C35" i="1"/>
  <c r="C34" i="1"/>
  <c r="F27" i="1"/>
  <c r="F26" i="1"/>
  <c r="E26" i="1"/>
  <c r="D26" i="1"/>
  <c r="F20" i="1"/>
  <c r="E20" i="1"/>
  <c r="D20" i="1"/>
  <c r="E22" i="1"/>
  <c r="D22" i="1"/>
  <c r="F23" i="1"/>
  <c r="E23" i="1"/>
  <c r="D23" i="1"/>
  <c r="F21" i="1"/>
  <c r="E21" i="1"/>
  <c r="D21" i="1"/>
  <c r="F22" i="1"/>
  <c r="F24" i="1"/>
  <c r="E24" i="1"/>
  <c r="D24" i="1"/>
  <c r="F28" i="1"/>
  <c r="E28" i="1"/>
  <c r="D28" i="1"/>
  <c r="E10" i="1"/>
  <c r="D10" i="1"/>
  <c r="E8" i="1"/>
  <c r="D8" i="1"/>
  <c r="E9" i="1"/>
  <c r="D9" i="1"/>
  <c r="E15" i="1"/>
  <c r="D15" i="1"/>
  <c r="F15" i="1"/>
  <c r="F8" i="1"/>
  <c r="F9" i="1"/>
  <c r="F10" i="1"/>
  <c r="F13" i="1"/>
  <c r="F14" i="1"/>
  <c r="F11" i="1"/>
  <c r="E11" i="1"/>
  <c r="D11" i="1"/>
  <c r="C26" i="1" l="1"/>
  <c r="D51" i="1"/>
  <c r="D55" i="1" s="1"/>
  <c r="F25" i="1"/>
  <c r="C27" i="1"/>
  <c r="C25" i="1" s="1"/>
  <c r="F12" i="1"/>
  <c r="F43" i="1"/>
  <c r="C14" i="1"/>
  <c r="C13" i="1"/>
  <c r="E43" i="1"/>
  <c r="D12" i="1"/>
  <c r="C51" i="1"/>
  <c r="C39" i="1"/>
  <c r="C46" i="1"/>
  <c r="C32" i="1"/>
  <c r="D43" i="1"/>
  <c r="F7" i="1"/>
  <c r="C20" i="1"/>
  <c r="C10" i="1"/>
  <c r="F19" i="1"/>
  <c r="C9" i="1"/>
  <c r="C21" i="1"/>
  <c r="C11" i="1"/>
  <c r="C15" i="1"/>
  <c r="C8" i="1"/>
  <c r="C24" i="1"/>
  <c r="C28" i="1"/>
  <c r="D19" i="1"/>
  <c r="E19" i="1"/>
  <c r="C22" i="1"/>
  <c r="C23" i="1"/>
  <c r="D7" i="1"/>
  <c r="E7" i="1"/>
  <c r="C43" i="1" l="1"/>
  <c r="C55" i="1"/>
  <c r="F29" i="1"/>
  <c r="F16" i="1"/>
  <c r="C7" i="1"/>
  <c r="C19" i="1"/>
  <c r="C29" i="1" s="1"/>
  <c r="B48" i="1"/>
  <c r="B21" i="1" l="1"/>
  <c r="E12" i="1"/>
  <c r="C12" i="1" s="1"/>
  <c r="D16" i="1"/>
  <c r="E16" i="1" l="1"/>
  <c r="C16" i="1"/>
  <c r="E25" i="1"/>
  <c r="E29" i="1" s="1"/>
  <c r="D25" i="1"/>
  <c r="D29" i="1" s="1"/>
</calcChain>
</file>

<file path=xl/sharedStrings.xml><?xml version="1.0" encoding="utf-8"?>
<sst xmlns="http://schemas.openxmlformats.org/spreadsheetml/2006/main" count="116" uniqueCount="63">
  <si>
    <t>Title</t>
  </si>
  <si>
    <t>Attachment 1 - VGI Pilot Budgets - Additional Details</t>
  </si>
  <si>
    <t>Last Update</t>
  </si>
  <si>
    <t>Authors</t>
  </si>
  <si>
    <t>Maria Sanz, Michelle Bogen, Chris Moris, Rudi Halbright</t>
  </si>
  <si>
    <t>Pilot #1</t>
  </si>
  <si>
    <t xml:space="preserve">V2X - Residential </t>
  </si>
  <si>
    <t>Budget Estimates</t>
  </si>
  <si>
    <t>Estimated Budget for each year</t>
  </si>
  <si>
    <r>
      <rPr>
        <b/>
        <sz val="12"/>
        <color theme="0"/>
        <rFont val="Calibri"/>
        <family val="2"/>
        <scheme val="minor"/>
      </rPr>
      <t xml:space="preserve">Narrative:
</t>
    </r>
    <r>
      <rPr>
        <b/>
        <sz val="12"/>
        <color rgb="FFFFFF00"/>
        <rFont val="Calibri"/>
        <family val="2"/>
        <scheme val="minor"/>
      </rPr>
      <t xml:space="preserve">
PG&amp;E's plans to use this column to provide a narrative with more detail information about each line item. The goal is to ensure that the content of the table is comprohensive to readers.</t>
    </r>
  </si>
  <si>
    <t>Budget Category</t>
  </si>
  <si>
    <t xml:space="preserve"> Total Amount ($) </t>
  </si>
  <si>
    <t xml:space="preserve">Contracted Goods &amp; Services </t>
  </si>
  <si>
    <t>Digital Platform Development (*)</t>
  </si>
  <si>
    <t xml:space="preserve">(*) Could be internal labor. More discussion with vendors is needed. </t>
  </si>
  <si>
    <t>Enrollment Process (*)</t>
  </si>
  <si>
    <t>ME&amp;O (*)</t>
  </si>
  <si>
    <t>Internal Labor (Project Manager)</t>
  </si>
  <si>
    <t>A Project Manager will be shared between Pilots 1 and 2.</t>
  </si>
  <si>
    <t xml:space="preserve">Incentives </t>
  </si>
  <si>
    <t>Calculation of incentives were determed via market research. Only a portion of the total costs of pilot participation (such as hardware acquisition &amp; installation costs of a residential bidirectional DC charger) are covered by the pilot program through incentives that are split between an upfront incentive and participation incentives. Therefore, a portion of the total costs will need to be borne by the customer.</t>
  </si>
  <si>
    <t>Upfront Incentive</t>
  </si>
  <si>
    <t>We reserved enough budget in the Upfront Incentive category to cover the case that all applicants reside in ESJ communities. Participants in ESJ communities receive $3000 in upfront incentives whereas participants in non-ESJ communities receive $2500 in upfront incentives.</t>
  </si>
  <si>
    <t>Participation Incentive</t>
  </si>
  <si>
    <t>This is equivalent to approx. $90/vehicle/month for 2 years.</t>
  </si>
  <si>
    <t xml:space="preserve"> Data Collection/Evaluation </t>
  </si>
  <si>
    <t>EM&amp;V budget is spread across all pilots.</t>
  </si>
  <si>
    <t xml:space="preserve"> Total </t>
  </si>
  <si>
    <t>Pilot #2</t>
  </si>
  <si>
    <t>V2X - Commercial</t>
  </si>
  <si>
    <t>Notes</t>
  </si>
  <si>
    <t>(*) Could be internal labor. More discussion with vendors is needed. No Digitial Platform Development costs were budgeted in Pilot 2 because total costs will be shared with Pilot 1.</t>
  </si>
  <si>
    <t>CCA Support (East Bay Community Energy)</t>
  </si>
  <si>
    <t>Internal Labor</t>
  </si>
  <si>
    <t>Customer contribution depends on eligibility for PG&amp;E make-ready infrastructure programs.</t>
  </si>
  <si>
    <t>This is equivalent to approx. $151/vehicle/month for 2 years.</t>
  </si>
  <si>
    <t>Pilot #3</t>
  </si>
  <si>
    <t>V2X - Microgrid (V2M)</t>
  </si>
  <si>
    <t>No unique web software needed at this time.</t>
  </si>
  <si>
    <t>Support for generating targeted awareness (in areas with compatible microgrids). May be internal or external resource, more discussion needed.</t>
  </si>
  <si>
    <t>See Definitions tab for ME&amp;O.</t>
  </si>
  <si>
    <t>Grid Study for Microgrid Operations</t>
  </si>
  <si>
    <t>Specifically for studying and qualifying microgrid sites, not customer specific interconnection costs. Costs covered by PG&amp;E for multi-customer microgrid operations study. Customer will need to cover their own costs (out of the incentive or other bucket) for customer panel upgrades, interconnection study, or other customer site specific enablement work.</t>
  </si>
  <si>
    <t>Installation &amp; Hardware</t>
  </si>
  <si>
    <t>Cost of enablement on the microgrid site is included in this estimate. Costs are likely to include measurement &amp; verfication equipment and other site specific enablement costs. Merged Installation &amp; Hardware due to challenge in distinguishing the two without further detail on the specific sites.</t>
  </si>
  <si>
    <t>Pilot 1 and potentially Pilot 2 would be incentive sources for base-level EVSE deployment. Pilot 3 may add additional incentive to cover the cost of backup equipment (beyond other incentive sources), study of interconnection, etc. and site setup costs.</t>
  </si>
  <si>
    <t>To make the customer whole on energy that would be charged/discharged due to microgrid support operations. Plan is to include coverage even in to 2024 as it may take longer to establish a long term tariff/participation mechanism for PSPS.</t>
  </si>
  <si>
    <t>Pilot #4</t>
  </si>
  <si>
    <t>V2X - Market Simulation (SimV2X)</t>
  </si>
  <si>
    <t>Total</t>
  </si>
  <si>
    <t>ED staff: total all</t>
  </si>
  <si>
    <t>Line Item</t>
  </si>
  <si>
    <t>Definition(s)</t>
  </si>
  <si>
    <t>Digital Platform Development</t>
  </si>
  <si>
    <t xml:space="preserve">Software development costs of the digital platform. The digital platform is a software application that aggregates PG&amp;E signals and sends them to either a customer aggregator or end-customer device. The platform additionally provides a translation layer between current and nascient standards to support interoperability between systems. </t>
  </si>
  <si>
    <t>Enrollment Process</t>
  </si>
  <si>
    <t>Costs to develop the software tools necessary and labor needed to process customer enrollment and ensure eligibility.</t>
  </si>
  <si>
    <t>ME&amp;O</t>
  </si>
  <si>
    <t>Costs to market, educate and reach customers, including PG&amp;E microsite development, newsletters, press releases and other marketing materials.</t>
  </si>
  <si>
    <t>Upfront incentive is the customer incentive upon enrollment in pilot program. Customer can utillize the funds for costs such as, charger, installation, distribution infrastruture, and interconnection. List of costs is not exhaustive, but intended to cover the costs associated with equipment and installation of equipment, and vary based on site.</t>
  </si>
  <si>
    <t>Incentive associated with ongoing performance and participation in pilot program.</t>
  </si>
  <si>
    <t>Costs related to analyzing specific multi-customer microgrid locations for compatibility with frequency control of BTM assets.</t>
  </si>
  <si>
    <t>Labor, equipment, and associated balance of system costs to enable the solution (e.g. monitoring equipment, relays, installing communications devices,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</si>
</sst>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0_);\(0\)"/>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b/>
      <sz val="12"/>
      <color theme="0"/>
      <name val="Calibri"/>
      <family val="2"/>
      <scheme val="minor"/>
    </font>
    <font>
      <b/>
      <sz val="12"/>
      <color rgb="FFFFFF00"/>
      <name val="Calibri"/>
      <family val="2"/>
      <scheme val="minor"/>
    </font>
    <font>
      <sz val="11"/>
      <name val="Calibri"/>
      <family val="2"/>
    </font>
  </fonts>
  <fills count="13">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rgb="FFD9E1F2"/>
        <bgColor indexed="64"/>
      </patternFill>
    </fill>
    <fill>
      <patternFill patternType="solid">
        <fgColor rgb="FFED7D31"/>
        <bgColor indexed="64"/>
      </patternFill>
    </fill>
    <fill>
      <patternFill patternType="solid">
        <fgColor rgb="FFFFF2CC"/>
        <bgColor indexed="64"/>
      </patternFill>
    </fill>
    <fill>
      <patternFill patternType="solid">
        <fgColor theme="4" tint="0.59999389629810485"/>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3" fillId="0" borderId="0" xfId="0" applyFont="1"/>
    <xf numFmtId="0" fontId="4" fillId="0" borderId="0" xfId="0" applyFont="1"/>
    <xf numFmtId="0" fontId="0" fillId="9" borderId="1" xfId="0" applyFill="1" applyBorder="1"/>
    <xf numFmtId="0" fontId="0" fillId="2" borderId="1" xfId="0" applyFill="1" applyBorder="1"/>
    <xf numFmtId="0" fontId="6" fillId="4" borderId="1" xfId="0" applyFont="1" applyFill="1" applyBorder="1"/>
    <xf numFmtId="0" fontId="0" fillId="4" borderId="1" xfId="0" applyFill="1" applyBorder="1"/>
    <xf numFmtId="0" fontId="2" fillId="3" borderId="1" xfId="0" applyFont="1" applyFill="1" applyBorder="1"/>
    <xf numFmtId="0" fontId="3" fillId="4" borderId="1" xfId="0" applyFont="1" applyFill="1" applyBorder="1"/>
    <xf numFmtId="0" fontId="3" fillId="8" borderId="1" xfId="0" applyFont="1" applyFill="1" applyBorder="1"/>
    <xf numFmtId="0" fontId="5" fillId="2" borderId="1" xfId="0" applyFont="1" applyFill="1" applyBorder="1"/>
    <xf numFmtId="0" fontId="0" fillId="0" borderId="1" xfId="0" applyBorder="1"/>
    <xf numFmtId="0" fontId="5" fillId="0" borderId="1" xfId="0" applyFont="1" applyBorder="1"/>
    <xf numFmtId="0" fontId="7" fillId="3" borderId="1" xfId="0" applyFont="1" applyFill="1" applyBorder="1" applyAlignment="1">
      <alignment vertical="top"/>
    </xf>
    <xf numFmtId="0" fontId="0" fillId="2" borderId="2" xfId="0" applyFill="1" applyBorder="1"/>
    <xf numFmtId="0" fontId="2" fillId="3" borderId="2" xfId="0" applyFont="1" applyFill="1" applyBorder="1"/>
    <xf numFmtId="0" fontId="8" fillId="3" borderId="1" xfId="0" applyFont="1" applyFill="1" applyBorder="1" applyAlignment="1">
      <alignment vertical="top" wrapText="1"/>
    </xf>
    <xf numFmtId="0" fontId="6" fillId="10" borderId="1" xfId="0" applyFont="1" applyFill="1" applyBorder="1"/>
    <xf numFmtId="0" fontId="0" fillId="10" borderId="1" xfId="0" applyFill="1" applyBorder="1"/>
    <xf numFmtId="0" fontId="5" fillId="10" borderId="3" xfId="0" applyFont="1" applyFill="1" applyBorder="1"/>
    <xf numFmtId="0" fontId="3" fillId="10" borderId="1" xfId="0" applyFont="1" applyFill="1" applyBorder="1"/>
    <xf numFmtId="165" fontId="0" fillId="2" borderId="2" xfId="0" applyNumberFormat="1" applyFill="1" applyBorder="1"/>
    <xf numFmtId="164" fontId="5" fillId="7" borderId="1" xfId="1" applyNumberFormat="1" applyFont="1" applyFill="1" applyBorder="1"/>
    <xf numFmtId="164" fontId="0" fillId="7" borderId="1" xfId="1" applyNumberFormat="1" applyFont="1" applyFill="1" applyBorder="1"/>
    <xf numFmtId="164" fontId="0" fillId="7" borderId="1" xfId="1" applyNumberFormat="1" applyFont="1" applyFill="1" applyBorder="1" applyAlignment="1">
      <alignment wrapText="1"/>
    </xf>
    <xf numFmtId="164" fontId="3" fillId="10" borderId="2" xfId="1" applyNumberFormat="1" applyFont="1" applyFill="1" applyBorder="1"/>
    <xf numFmtId="164" fontId="5" fillId="7" borderId="1" xfId="1" applyNumberFormat="1" applyFont="1" applyFill="1" applyBorder="1" applyAlignment="1">
      <alignment wrapText="1"/>
    </xf>
    <xf numFmtId="164" fontId="3" fillId="10" borderId="1" xfId="1" applyNumberFormat="1" applyFont="1" applyFill="1" applyBorder="1"/>
    <xf numFmtId="0" fontId="0" fillId="2" borderId="1" xfId="0" applyFont="1" applyFill="1" applyBorder="1"/>
    <xf numFmtId="0" fontId="0" fillId="0" borderId="1" xfId="0" applyFont="1" applyBorder="1"/>
    <xf numFmtId="0" fontId="5" fillId="0" borderId="1" xfId="0" applyFont="1" applyFill="1" applyBorder="1"/>
    <xf numFmtId="164" fontId="5" fillId="7" borderId="1" xfId="1" applyNumberFormat="1" applyFont="1" applyFill="1" applyBorder="1" applyAlignment="1">
      <alignment horizontal="right"/>
    </xf>
    <xf numFmtId="0" fontId="0" fillId="0" borderId="1" xfId="0" applyFill="1" applyBorder="1"/>
    <xf numFmtId="0" fontId="6" fillId="4" borderId="1" xfId="0" applyFont="1" applyFill="1" applyBorder="1" applyAlignment="1">
      <alignment wrapText="1"/>
    </xf>
    <xf numFmtId="166" fontId="0" fillId="5" borderId="1" xfId="0" applyNumberFormat="1" applyFill="1" applyBorder="1"/>
    <xf numFmtId="166" fontId="0" fillId="5" borderId="1" xfId="0" applyNumberFormat="1" applyFill="1" applyBorder="1" applyAlignment="1">
      <alignment wrapText="1"/>
    </xf>
    <xf numFmtId="164" fontId="6" fillId="4" borderId="1" xfId="1" applyNumberFormat="1" applyFont="1" applyFill="1" applyBorder="1"/>
    <xf numFmtId="164" fontId="6" fillId="10" borderId="1" xfId="1" applyNumberFormat="1" applyFont="1" applyFill="1" applyBorder="1"/>
    <xf numFmtId="0" fontId="5" fillId="9" borderId="1" xfId="0" applyFont="1" applyFill="1" applyBorder="1"/>
    <xf numFmtId="0" fontId="5" fillId="2" borderId="2" xfId="0" applyFont="1" applyFill="1" applyBorder="1"/>
    <xf numFmtId="0" fontId="6" fillId="8" borderId="1" xfId="0" applyFont="1" applyFill="1" applyBorder="1"/>
    <xf numFmtId="0" fontId="5" fillId="10" borderId="1" xfId="0" applyFont="1" applyFill="1" applyBorder="1"/>
    <xf numFmtId="164" fontId="6" fillId="10" borderId="2" xfId="1" applyNumberFormat="1" applyFont="1" applyFill="1" applyBorder="1"/>
    <xf numFmtId="164" fontId="5" fillId="7" borderId="2" xfId="1" applyNumberFormat="1" applyFont="1" applyFill="1" applyBorder="1" applyAlignment="1">
      <alignment horizontal="right"/>
    </xf>
    <xf numFmtId="164" fontId="5" fillId="7" borderId="2" xfId="1" applyNumberFormat="1" applyFont="1" applyFill="1" applyBorder="1"/>
    <xf numFmtId="0" fontId="5" fillId="7" borderId="1" xfId="0" applyFont="1" applyFill="1" applyBorder="1" applyAlignment="1">
      <alignment horizontal="right"/>
    </xf>
    <xf numFmtId="0" fontId="9" fillId="7" borderId="1" xfId="0" applyFont="1" applyFill="1" applyBorder="1" applyAlignment="1">
      <alignment horizontal="right"/>
    </xf>
    <xf numFmtId="0" fontId="0" fillId="7" borderId="1" xfId="0" applyFill="1" applyBorder="1" applyAlignment="1">
      <alignment horizontal="right"/>
    </xf>
    <xf numFmtId="164" fontId="0" fillId="0" borderId="0" xfId="0" applyNumberFormat="1"/>
    <xf numFmtId="164" fontId="0" fillId="0" borderId="0" xfId="1" applyNumberFormat="1" applyFont="1"/>
    <xf numFmtId="164" fontId="3" fillId="4" borderId="2" xfId="1" applyNumberFormat="1" applyFont="1" applyFill="1" applyBorder="1"/>
    <xf numFmtId="164" fontId="6" fillId="4" borderId="1" xfId="1" applyNumberFormat="1" applyFont="1" applyFill="1" applyBorder="1" applyAlignment="1">
      <alignment wrapText="1"/>
    </xf>
    <xf numFmtId="164" fontId="6" fillId="4" borderId="2" xfId="1" applyNumberFormat="1" applyFont="1" applyFill="1" applyBorder="1"/>
    <xf numFmtId="0" fontId="5" fillId="0" borderId="1" xfId="0" applyFont="1" applyBorder="1" applyAlignment="1">
      <alignment wrapText="1"/>
    </xf>
    <xf numFmtId="0" fontId="0" fillId="0" borderId="1" xfId="0" applyBorder="1" applyAlignment="1">
      <alignment horizontal="left" vertical="top" wrapText="1"/>
    </xf>
    <xf numFmtId="0" fontId="5" fillId="0" borderId="1" xfId="0" applyFont="1" applyFill="1" applyBorder="1" applyAlignment="1">
      <alignment horizontal="left" vertical="top" wrapText="1"/>
    </xf>
    <xf numFmtId="0" fontId="5" fillId="10" borderId="3" xfId="0" applyFont="1" applyFill="1" applyBorder="1" applyAlignment="1">
      <alignment horizontal="left" vertical="top" wrapText="1"/>
    </xf>
    <xf numFmtId="164" fontId="3" fillId="4" borderId="1" xfId="1" applyNumberFormat="1" applyFont="1" applyFill="1" applyBorder="1"/>
    <xf numFmtId="164" fontId="3" fillId="4" borderId="1" xfId="1" applyNumberFormat="1" applyFont="1" applyFill="1" applyBorder="1" applyAlignment="1">
      <alignment wrapText="1"/>
    </xf>
    <xf numFmtId="164" fontId="6" fillId="4" borderId="1" xfId="1" applyNumberFormat="1" applyFont="1" applyFill="1" applyBorder="1" applyAlignment="1">
      <alignment horizontal="right"/>
    </xf>
    <xf numFmtId="0" fontId="9"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164" fontId="5" fillId="0" borderId="1" xfId="0" applyNumberFormat="1" applyFont="1" applyFill="1" applyBorder="1"/>
    <xf numFmtId="0" fontId="0" fillId="0" borderId="0" xfId="0" applyAlignment="1">
      <alignment horizontal="left"/>
    </xf>
    <xf numFmtId="14" fontId="0" fillId="0" borderId="0" xfId="0" applyNumberFormat="1" applyAlignment="1">
      <alignment horizontal="left"/>
    </xf>
    <xf numFmtId="0" fontId="5" fillId="0" borderId="1" xfId="0" applyFont="1" applyBorder="1" applyAlignment="1">
      <alignment horizontal="left" vertical="top" wrapText="1"/>
    </xf>
    <xf numFmtId="0" fontId="3" fillId="11" borderId="1" xfId="0" applyFont="1" applyFill="1" applyBorder="1"/>
    <xf numFmtId="0" fontId="0" fillId="12" borderId="1" xfId="0" applyFill="1" applyBorder="1" applyAlignment="1">
      <alignment wrapText="1"/>
    </xf>
    <xf numFmtId="0" fontId="7" fillId="6" borderId="1" xfId="0" applyFont="1" applyFill="1" applyBorder="1" applyAlignment="1">
      <alignment horizontal="center" vertical="top"/>
    </xf>
    <xf numFmtId="0" fontId="2" fillId="6"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0B026-8609-4C02-AB45-ADE2882E1638}">
  <dimension ref="A1:G64"/>
  <sheetViews>
    <sheetView tabSelected="1" topLeftCell="C5" zoomScale="70" zoomScaleNormal="70" workbookViewId="0">
      <selection activeCell="G26" sqref="G26"/>
    </sheetView>
  </sheetViews>
  <sheetFormatPr defaultRowHeight="15"/>
  <cols>
    <col min="1" max="1" width="9.28515625" customWidth="1"/>
    <col min="2" max="2" width="44.7109375" customWidth="1"/>
    <col min="3" max="4" width="15" customWidth="1"/>
    <col min="5" max="5" width="13.5703125" customWidth="1"/>
    <col min="6" max="6" width="13.140625" customWidth="1"/>
    <col min="7" max="7" width="172.5703125" customWidth="1"/>
  </cols>
  <sheetData>
    <row r="1" spans="1:7">
      <c r="A1" s="2" t="s">
        <v>0</v>
      </c>
      <c r="B1" s="64" t="s">
        <v>1</v>
      </c>
    </row>
    <row r="2" spans="1:7">
      <c r="A2" s="2" t="s">
        <v>2</v>
      </c>
      <c r="B2" s="65">
        <v>44484</v>
      </c>
    </row>
    <row r="3" spans="1:7">
      <c r="A3" s="2" t="s">
        <v>3</v>
      </c>
      <c r="B3" s="64" t="s">
        <v>4</v>
      </c>
    </row>
    <row r="5" spans="1:7" ht="21" customHeight="1">
      <c r="A5" s="7" t="s">
        <v>5</v>
      </c>
      <c r="B5" s="7" t="s">
        <v>6</v>
      </c>
      <c r="C5" s="13" t="s">
        <v>7</v>
      </c>
      <c r="D5" s="69" t="s">
        <v>8</v>
      </c>
      <c r="E5" s="69"/>
      <c r="F5" s="69"/>
      <c r="G5" s="16" t="s">
        <v>9</v>
      </c>
    </row>
    <row r="6" spans="1:7">
      <c r="A6" s="4"/>
      <c r="B6" s="4" t="s">
        <v>10</v>
      </c>
      <c r="C6" s="21" t="s">
        <v>11</v>
      </c>
      <c r="D6" s="34">
        <v>2022</v>
      </c>
      <c r="E6" s="34">
        <v>2023</v>
      </c>
      <c r="F6" s="35">
        <v>2024</v>
      </c>
      <c r="G6" s="28"/>
    </row>
    <row r="7" spans="1:7">
      <c r="A7" s="6"/>
      <c r="B7" s="8" t="s">
        <v>12</v>
      </c>
      <c r="C7" s="50">
        <f t="shared" ref="C7:C15" si="0">SUM(D7:F7)</f>
        <v>1875000</v>
      </c>
      <c r="D7" s="57">
        <f>SUM(D8:D10)</f>
        <v>1031250</v>
      </c>
      <c r="E7" s="57">
        <f>SUM(E8:E10)</f>
        <v>843750</v>
      </c>
      <c r="F7" s="58">
        <f>SUM(F8:F10)</f>
        <v>0</v>
      </c>
      <c r="G7" s="29"/>
    </row>
    <row r="8" spans="1:7">
      <c r="A8" s="11"/>
      <c r="B8" s="45" t="s">
        <v>13</v>
      </c>
      <c r="C8" s="44">
        <f t="shared" si="0"/>
        <v>900000</v>
      </c>
      <c r="D8" s="22">
        <f>900000*0.75</f>
        <v>675000</v>
      </c>
      <c r="E8" s="22">
        <f>900000*0.25</f>
        <v>225000</v>
      </c>
      <c r="F8" s="26">
        <f>0</f>
        <v>0</v>
      </c>
      <c r="G8" s="29" t="s">
        <v>14</v>
      </c>
    </row>
    <row r="9" spans="1:7">
      <c r="A9" s="11"/>
      <c r="B9" s="45" t="s">
        <v>15</v>
      </c>
      <c r="C9" s="44">
        <f t="shared" si="0"/>
        <v>750000</v>
      </c>
      <c r="D9" s="22">
        <f>750000*0.25</f>
        <v>187500</v>
      </c>
      <c r="E9" s="22">
        <f>750000*0.75</f>
        <v>562500</v>
      </c>
      <c r="F9" s="26">
        <f>0</f>
        <v>0</v>
      </c>
      <c r="G9" s="29" t="s">
        <v>14</v>
      </c>
    </row>
    <row r="10" spans="1:7" ht="15" customHeight="1">
      <c r="A10" s="11"/>
      <c r="B10" s="45" t="s">
        <v>16</v>
      </c>
      <c r="C10" s="44">
        <f t="shared" si="0"/>
        <v>225000</v>
      </c>
      <c r="D10" s="22">
        <f>225000*0.75</f>
        <v>168750</v>
      </c>
      <c r="E10" s="22">
        <f>225000*0.25</f>
        <v>56250</v>
      </c>
      <c r="F10" s="26">
        <f>0</f>
        <v>0</v>
      </c>
      <c r="G10" s="11" t="s">
        <v>14</v>
      </c>
    </row>
    <row r="11" spans="1:7">
      <c r="A11" s="6"/>
      <c r="B11" s="8" t="s">
        <v>17</v>
      </c>
      <c r="C11" s="50">
        <f t="shared" si="0"/>
        <v>199999.995</v>
      </c>
      <c r="D11" s="57">
        <f>150000*0.5</f>
        <v>75000</v>
      </c>
      <c r="E11" s="57">
        <f>150000*0.5</f>
        <v>75000</v>
      </c>
      <c r="F11" s="58">
        <f>150000*0.3333333</f>
        <v>49999.995000000003</v>
      </c>
      <c r="G11" s="11" t="s">
        <v>18</v>
      </c>
    </row>
    <row r="12" spans="1:7" ht="17.25" customHeight="1">
      <c r="A12" s="6"/>
      <c r="B12" s="8" t="s">
        <v>19</v>
      </c>
      <c r="C12" s="52">
        <f t="shared" si="0"/>
        <v>5175000</v>
      </c>
      <c r="D12" s="36">
        <f>SUM(D13:D14)</f>
        <v>517500</v>
      </c>
      <c r="E12" s="36">
        <f>SUM(E13:E14)</f>
        <v>4657500</v>
      </c>
      <c r="F12" s="59">
        <f>SUM(F13:F14)</f>
        <v>0</v>
      </c>
      <c r="G12" s="54" t="s">
        <v>20</v>
      </c>
    </row>
    <row r="13" spans="1:7" ht="17.25" customHeight="1">
      <c r="A13" s="11"/>
      <c r="B13" s="45" t="s">
        <v>21</v>
      </c>
      <c r="C13" s="44">
        <f t="shared" si="0"/>
        <v>3000000</v>
      </c>
      <c r="D13" s="22">
        <f>3000000*0.1</f>
        <v>300000</v>
      </c>
      <c r="E13" s="23">
        <f>3000000*0.9</f>
        <v>2700000</v>
      </c>
      <c r="F13" s="24">
        <f>0</f>
        <v>0</v>
      </c>
      <c r="G13" s="66" t="s">
        <v>22</v>
      </c>
    </row>
    <row r="14" spans="1:7">
      <c r="A14" s="11"/>
      <c r="B14" s="45" t="s">
        <v>23</v>
      </c>
      <c r="C14" s="44">
        <f t="shared" si="0"/>
        <v>2175000</v>
      </c>
      <c r="D14" s="22">
        <f>2175000*0.1</f>
        <v>217500</v>
      </c>
      <c r="E14" s="23">
        <f>2175000*0.9</f>
        <v>1957500</v>
      </c>
      <c r="F14" s="24">
        <f>0</f>
        <v>0</v>
      </c>
      <c r="G14" s="12" t="s">
        <v>24</v>
      </c>
    </row>
    <row r="15" spans="1:7">
      <c r="A15" s="6"/>
      <c r="B15" s="8" t="s">
        <v>25</v>
      </c>
      <c r="C15" s="50">
        <f t="shared" si="0"/>
        <v>250000</v>
      </c>
      <c r="D15" s="57">
        <f>0</f>
        <v>0</v>
      </c>
      <c r="E15" s="57">
        <f>0</f>
        <v>0</v>
      </c>
      <c r="F15" s="58">
        <f>250000</f>
        <v>250000</v>
      </c>
      <c r="G15" s="29" t="s">
        <v>26</v>
      </c>
    </row>
    <row r="16" spans="1:7">
      <c r="A16" s="11"/>
      <c r="B16" s="20" t="s">
        <v>27</v>
      </c>
      <c r="C16" s="25">
        <f>SUM(C15,C12,C11,C7)</f>
        <v>7499999.9950000001</v>
      </c>
      <c r="D16" s="27">
        <f>SUM(D15,D12,D11,D7)</f>
        <v>1623750</v>
      </c>
      <c r="E16" s="27">
        <f>SUM(E15,E12,E11,E7)</f>
        <v>5576250</v>
      </c>
      <c r="F16" s="27">
        <f>SUM(F15,F12,F11,F7)</f>
        <v>299999.995</v>
      </c>
      <c r="G16" s="19"/>
    </row>
    <row r="17" spans="1:7">
      <c r="A17" s="7" t="s">
        <v>28</v>
      </c>
      <c r="B17" s="7" t="s">
        <v>29</v>
      </c>
      <c r="C17" s="15"/>
      <c r="D17" s="70" t="s">
        <v>8</v>
      </c>
      <c r="E17" s="70"/>
      <c r="F17" s="70"/>
      <c r="G17" s="7" t="s">
        <v>30</v>
      </c>
    </row>
    <row r="18" spans="1:7">
      <c r="A18" s="4"/>
      <c r="B18" s="4" t="s">
        <v>10</v>
      </c>
      <c r="C18" s="14" t="s">
        <v>11</v>
      </c>
      <c r="D18" s="3">
        <v>2022</v>
      </c>
      <c r="E18" s="3">
        <v>2023</v>
      </c>
      <c r="F18" s="3">
        <v>2024</v>
      </c>
      <c r="G18" s="4"/>
    </row>
    <row r="19" spans="1:7">
      <c r="A19" s="6"/>
      <c r="B19" s="9" t="s">
        <v>12</v>
      </c>
      <c r="C19" s="50">
        <f t="shared" ref="C19:C24" si="1">SUM(D19:F19)</f>
        <v>1035000</v>
      </c>
      <c r="D19" s="57">
        <f>SUM(D20:D23)</f>
        <v>622250</v>
      </c>
      <c r="E19" s="57">
        <f t="shared" ref="E19:F19" si="2">SUM(E20:E23)</f>
        <v>324750</v>
      </c>
      <c r="F19" s="57">
        <f t="shared" si="2"/>
        <v>88000</v>
      </c>
      <c r="G19" s="11"/>
    </row>
    <row r="20" spans="1:7" ht="18" customHeight="1">
      <c r="A20" s="11"/>
      <c r="B20" s="45" t="s">
        <v>13</v>
      </c>
      <c r="C20" s="43">
        <f t="shared" si="1"/>
        <v>0</v>
      </c>
      <c r="D20" s="31">
        <f>0</f>
        <v>0</v>
      </c>
      <c r="E20" s="31">
        <f>0</f>
        <v>0</v>
      </c>
      <c r="F20" s="26">
        <f>0</f>
        <v>0</v>
      </c>
      <c r="G20" s="54" t="s">
        <v>31</v>
      </c>
    </row>
    <row r="21" spans="1:7">
      <c r="A21" s="11"/>
      <c r="B21" s="45" t="str">
        <f>B9</f>
        <v>Enrollment Process (*)</v>
      </c>
      <c r="C21" s="43">
        <f t="shared" si="1"/>
        <v>500000</v>
      </c>
      <c r="D21" s="31">
        <f>500000*0.75</f>
        <v>375000</v>
      </c>
      <c r="E21" s="31">
        <f>500000*0.25</f>
        <v>125000</v>
      </c>
      <c r="F21" s="26">
        <f>0</f>
        <v>0</v>
      </c>
      <c r="G21" s="11" t="s">
        <v>14</v>
      </c>
    </row>
    <row r="22" spans="1:7" ht="16.5" customHeight="1">
      <c r="A22" s="11"/>
      <c r="B22" s="45" t="s">
        <v>16</v>
      </c>
      <c r="C22" s="43">
        <f t="shared" si="1"/>
        <v>95000</v>
      </c>
      <c r="D22" s="31">
        <f>95000*0.75</f>
        <v>71250</v>
      </c>
      <c r="E22" s="31">
        <f>95000*0.25</f>
        <v>23750</v>
      </c>
      <c r="F22" s="26">
        <f>0</f>
        <v>0</v>
      </c>
      <c r="G22" s="11" t="s">
        <v>14</v>
      </c>
    </row>
    <row r="23" spans="1:7">
      <c r="A23" s="11"/>
      <c r="B23" s="46" t="s">
        <v>32</v>
      </c>
      <c r="C23" s="43">
        <f t="shared" si="1"/>
        <v>440000</v>
      </c>
      <c r="D23" s="31">
        <f>440000*0.4</f>
        <v>176000</v>
      </c>
      <c r="E23" s="31">
        <f>440000*0.4</f>
        <v>176000</v>
      </c>
      <c r="F23" s="26">
        <f>440000*0.2</f>
        <v>88000</v>
      </c>
      <c r="G23" s="11"/>
    </row>
    <row r="24" spans="1:7">
      <c r="A24" s="6"/>
      <c r="B24" s="8" t="s">
        <v>33</v>
      </c>
      <c r="C24" s="52">
        <f t="shared" si="1"/>
        <v>199999.99999499999</v>
      </c>
      <c r="D24" s="36">
        <f>150000*0.5</f>
        <v>75000</v>
      </c>
      <c r="E24" s="36">
        <f>150000*0.5</f>
        <v>75000</v>
      </c>
      <c r="F24" s="51">
        <f>150000*0.3333333333</f>
        <v>49999.999994999998</v>
      </c>
      <c r="G24" s="11" t="s">
        <v>18</v>
      </c>
    </row>
    <row r="25" spans="1:7" ht="17.25" customHeight="1">
      <c r="A25" s="6"/>
      <c r="B25" s="8" t="s">
        <v>19</v>
      </c>
      <c r="C25" s="52">
        <f>SUM(C26:C27)</f>
        <v>1325000</v>
      </c>
      <c r="D25" s="36">
        <f>SUM(D26:D27)</f>
        <v>331250</v>
      </c>
      <c r="E25" s="36">
        <f>SUM(E26:E27)</f>
        <v>993750</v>
      </c>
      <c r="F25" s="51">
        <f>SUM(F26:F27)</f>
        <v>0</v>
      </c>
      <c r="G25" s="54" t="s">
        <v>34</v>
      </c>
    </row>
    <row r="26" spans="1:7" ht="18" customHeight="1">
      <c r="A26" s="11"/>
      <c r="B26" s="47" t="s">
        <v>21</v>
      </c>
      <c r="C26" s="44">
        <f>SUM(D26:F26)</f>
        <v>600000</v>
      </c>
      <c r="D26" s="22">
        <f>3000*50</f>
        <v>150000</v>
      </c>
      <c r="E26" s="22">
        <f>3000*150</f>
        <v>450000</v>
      </c>
      <c r="F26" s="26">
        <f>0</f>
        <v>0</v>
      </c>
      <c r="G26" s="66" t="s">
        <v>22</v>
      </c>
    </row>
    <row r="27" spans="1:7">
      <c r="A27" s="11"/>
      <c r="B27" s="47" t="s">
        <v>23</v>
      </c>
      <c r="C27" s="44">
        <f>SUM(D27:F27)</f>
        <v>725000</v>
      </c>
      <c r="D27" s="22">
        <f>725000*0.25</f>
        <v>181250</v>
      </c>
      <c r="E27" s="22">
        <f>725000*0.75</f>
        <v>543750</v>
      </c>
      <c r="F27" s="26">
        <f>0</f>
        <v>0</v>
      </c>
      <c r="G27" s="53" t="s">
        <v>35</v>
      </c>
    </row>
    <row r="28" spans="1:7">
      <c r="A28" s="6"/>
      <c r="B28" s="8" t="s">
        <v>25</v>
      </c>
      <c r="C28" s="50">
        <f>SUM(D28:F28)</f>
        <v>140000</v>
      </c>
      <c r="D28" s="57">
        <f>0</f>
        <v>0</v>
      </c>
      <c r="E28" s="57">
        <f>0</f>
        <v>0</v>
      </c>
      <c r="F28" s="58">
        <f>140000</f>
        <v>140000</v>
      </c>
      <c r="G28" s="29" t="s">
        <v>26</v>
      </c>
    </row>
    <row r="29" spans="1:7">
      <c r="A29" s="11"/>
      <c r="B29" s="20" t="s">
        <v>27</v>
      </c>
      <c r="C29" s="25">
        <f>SUM(C19,C24,C25,C28)</f>
        <v>2699999.9999949997</v>
      </c>
      <c r="D29" s="27">
        <f>SUM(D28,D25,D24,D19)</f>
        <v>1028500</v>
      </c>
      <c r="E29" s="27">
        <f>SUM(E28,E25,E24,E19)</f>
        <v>1393500</v>
      </c>
      <c r="F29" s="27">
        <f>SUM(F28,F25,F24,F19)</f>
        <v>277999.99999499996</v>
      </c>
      <c r="G29" s="19"/>
    </row>
    <row r="30" spans="1:7">
      <c r="A30" s="7" t="s">
        <v>36</v>
      </c>
      <c r="B30" s="7" t="s">
        <v>37</v>
      </c>
      <c r="C30" s="15"/>
      <c r="D30" s="70" t="s">
        <v>8</v>
      </c>
      <c r="E30" s="70"/>
      <c r="F30" s="70"/>
      <c r="G30" s="7" t="s">
        <v>30</v>
      </c>
    </row>
    <row r="31" spans="1:7">
      <c r="A31" s="4"/>
      <c r="B31" s="10" t="s">
        <v>10</v>
      </c>
      <c r="C31" s="14" t="s">
        <v>11</v>
      </c>
      <c r="D31" s="3">
        <v>2022</v>
      </c>
      <c r="E31" s="3">
        <v>2023</v>
      </c>
      <c r="F31" s="3">
        <v>2024</v>
      </c>
      <c r="G31" s="4"/>
    </row>
    <row r="32" spans="1:7">
      <c r="A32" s="6"/>
      <c r="B32" s="5" t="s">
        <v>12</v>
      </c>
      <c r="C32" s="50">
        <f>SUM(C33:C37)</f>
        <v>500000</v>
      </c>
      <c r="D32" s="36">
        <f>SUM(D33:D37)</f>
        <v>80000</v>
      </c>
      <c r="E32" s="36">
        <f>SUM(E33:E37)</f>
        <v>420000</v>
      </c>
      <c r="F32" s="36">
        <f>SUM(F33:F37)</f>
        <v>0</v>
      </c>
      <c r="G32" s="33"/>
    </row>
    <row r="33" spans="1:7" ht="15.6" customHeight="1">
      <c r="A33" s="11"/>
      <c r="B33" s="45" t="s">
        <v>13</v>
      </c>
      <c r="C33" s="31">
        <f>SUM(D33:F33)</f>
        <v>0</v>
      </c>
      <c r="D33" s="22">
        <v>0</v>
      </c>
      <c r="E33" s="22">
        <v>0</v>
      </c>
      <c r="F33" s="26">
        <v>0</v>
      </c>
      <c r="G33" s="55" t="s">
        <v>38</v>
      </c>
    </row>
    <row r="34" spans="1:7" ht="15.75" customHeight="1">
      <c r="A34" s="11"/>
      <c r="B34" s="45" t="s">
        <v>15</v>
      </c>
      <c r="C34" s="31">
        <f t="shared" ref="C34:C41" si="3">SUM(D34:F34)</f>
        <v>50000</v>
      </c>
      <c r="D34" s="22">
        <v>15000</v>
      </c>
      <c r="E34" s="22">
        <v>35000</v>
      </c>
      <c r="F34" s="26">
        <v>0</v>
      </c>
      <c r="G34" s="55" t="s">
        <v>39</v>
      </c>
    </row>
    <row r="35" spans="1:7" ht="17.25" customHeight="1">
      <c r="A35" s="11"/>
      <c r="B35" s="45" t="s">
        <v>16</v>
      </c>
      <c r="C35" s="31">
        <f t="shared" si="3"/>
        <v>50000</v>
      </c>
      <c r="D35" s="22">
        <v>15000</v>
      </c>
      <c r="E35" s="22">
        <v>35000</v>
      </c>
      <c r="F35" s="26">
        <v>0</v>
      </c>
      <c r="G35" s="60" t="s">
        <v>40</v>
      </c>
    </row>
    <row r="36" spans="1:7" ht="18" customHeight="1">
      <c r="A36" s="11"/>
      <c r="B36" s="45" t="s">
        <v>41</v>
      </c>
      <c r="C36" s="31">
        <f>SUM(D36:F36)</f>
        <v>200000</v>
      </c>
      <c r="D36" s="22">
        <v>50000</v>
      </c>
      <c r="E36" s="22">
        <v>150000</v>
      </c>
      <c r="F36" s="26">
        <v>0</v>
      </c>
      <c r="G36" s="55" t="s">
        <v>42</v>
      </c>
    </row>
    <row r="37" spans="1:7" ht="17.25" customHeight="1">
      <c r="A37" s="11"/>
      <c r="B37" s="45" t="s">
        <v>43</v>
      </c>
      <c r="C37" s="31">
        <f>SUM(D37:F37)</f>
        <v>200000</v>
      </c>
      <c r="D37" s="22">
        <v>0</v>
      </c>
      <c r="E37" s="22">
        <v>200000</v>
      </c>
      <c r="F37" s="26">
        <v>0</v>
      </c>
      <c r="G37" s="55" t="s">
        <v>44</v>
      </c>
    </row>
    <row r="38" spans="1:7">
      <c r="A38" s="6"/>
      <c r="B38" s="5" t="s">
        <v>17</v>
      </c>
      <c r="C38" s="36">
        <f>SUM(D38:F38)</f>
        <v>200000</v>
      </c>
      <c r="D38" s="36">
        <v>75000</v>
      </c>
      <c r="E38" s="36">
        <v>75000</v>
      </c>
      <c r="F38" s="51">
        <v>50000</v>
      </c>
      <c r="G38" s="55"/>
    </row>
    <row r="39" spans="1:7">
      <c r="A39" s="6"/>
      <c r="B39" s="5" t="s">
        <v>19</v>
      </c>
      <c r="C39" s="36">
        <f>SUM(C40:C41)</f>
        <v>750000</v>
      </c>
      <c r="D39" s="36">
        <f>SUM(D40:D41)</f>
        <v>100000</v>
      </c>
      <c r="E39" s="36">
        <f>SUM(E40:E41)</f>
        <v>525000</v>
      </c>
      <c r="F39" s="51">
        <f>SUM(F40:F41)</f>
        <v>125000</v>
      </c>
      <c r="G39" s="55"/>
    </row>
    <row r="40" spans="1:7" ht="15.75" customHeight="1">
      <c r="A40" s="11"/>
      <c r="B40" s="45" t="s">
        <v>21</v>
      </c>
      <c r="C40" s="31">
        <f t="shared" si="3"/>
        <v>500000</v>
      </c>
      <c r="D40" s="22">
        <v>100000</v>
      </c>
      <c r="E40" s="22">
        <v>400000</v>
      </c>
      <c r="F40" s="26">
        <v>0</v>
      </c>
      <c r="G40" s="55" t="s">
        <v>45</v>
      </c>
    </row>
    <row r="41" spans="1:7" ht="17.100000000000001" customHeight="1">
      <c r="A41" s="11"/>
      <c r="B41" s="45" t="s">
        <v>23</v>
      </c>
      <c r="C41" s="31">
        <f t="shared" si="3"/>
        <v>250000</v>
      </c>
      <c r="D41" s="22">
        <v>0</v>
      </c>
      <c r="E41" s="22">
        <v>125000</v>
      </c>
      <c r="F41" s="26">
        <v>125000</v>
      </c>
      <c r="G41" s="61" t="s">
        <v>46</v>
      </c>
    </row>
    <row r="42" spans="1:7">
      <c r="A42" s="6"/>
      <c r="B42" s="5" t="s">
        <v>25</v>
      </c>
      <c r="C42" s="36">
        <f>SUM(D42:F42)</f>
        <v>50000</v>
      </c>
      <c r="D42" s="36">
        <v>0</v>
      </c>
      <c r="E42" s="36">
        <v>0</v>
      </c>
      <c r="F42" s="51">
        <v>50000</v>
      </c>
      <c r="G42" s="11" t="s">
        <v>26</v>
      </c>
    </row>
    <row r="43" spans="1:7">
      <c r="A43" s="11"/>
      <c r="B43" s="17" t="s">
        <v>27</v>
      </c>
      <c r="C43" s="37">
        <f>SUM(D43:F43)</f>
        <v>1500000</v>
      </c>
      <c r="D43" s="37">
        <f>SUM(D32,D38,D39,D42)</f>
        <v>255000</v>
      </c>
      <c r="E43" s="37">
        <f>SUM(E32,E38,E39,E42)</f>
        <v>1020000</v>
      </c>
      <c r="F43" s="37">
        <f>SUM(F32,F38,F39,F42)</f>
        <v>225000</v>
      </c>
      <c r="G43" s="56"/>
    </row>
    <row r="44" spans="1:7">
      <c r="A44" s="7" t="s">
        <v>47</v>
      </c>
      <c r="B44" s="7" t="s">
        <v>48</v>
      </c>
      <c r="C44" s="15"/>
      <c r="D44" s="70" t="s">
        <v>8</v>
      </c>
      <c r="E44" s="70"/>
      <c r="F44" s="70"/>
      <c r="G44" s="7" t="s">
        <v>30</v>
      </c>
    </row>
    <row r="45" spans="1:7">
      <c r="A45" s="4"/>
      <c r="B45" s="10" t="s">
        <v>10</v>
      </c>
      <c r="C45" s="39" t="s">
        <v>11</v>
      </c>
      <c r="D45" s="38">
        <v>2022</v>
      </c>
      <c r="E45" s="38">
        <v>2023</v>
      </c>
      <c r="F45" s="38">
        <v>2024</v>
      </c>
      <c r="G45" s="4"/>
    </row>
    <row r="46" spans="1:7">
      <c r="A46" s="6"/>
      <c r="B46" s="40" t="s">
        <v>12</v>
      </c>
      <c r="C46" s="52">
        <f t="shared" ref="C46:F46" si="4">SUM(C47:C49)</f>
        <v>700000</v>
      </c>
      <c r="D46" s="52">
        <f t="shared" si="4"/>
        <v>500000</v>
      </c>
      <c r="E46" s="52">
        <f t="shared" si="4"/>
        <v>150000</v>
      </c>
      <c r="F46" s="52">
        <f t="shared" si="4"/>
        <v>50000</v>
      </c>
      <c r="G46" s="32"/>
    </row>
    <row r="47" spans="1:7">
      <c r="A47" s="11"/>
      <c r="B47" s="45" t="s">
        <v>13</v>
      </c>
      <c r="C47" s="43">
        <f>SUM(D47:F47)</f>
        <v>650000</v>
      </c>
      <c r="D47" s="31">
        <v>450000</v>
      </c>
      <c r="E47" s="31">
        <v>150000</v>
      </c>
      <c r="F47" s="26">
        <v>50000</v>
      </c>
      <c r="G47" s="30" t="s">
        <v>14</v>
      </c>
    </row>
    <row r="48" spans="1:7">
      <c r="A48" s="11"/>
      <c r="B48" s="45" t="str">
        <f>B34</f>
        <v>Enrollment Process (*)</v>
      </c>
      <c r="C48" s="43">
        <f>SUM(D48:F48)</f>
        <v>0</v>
      </c>
      <c r="D48" s="31">
        <v>0</v>
      </c>
      <c r="E48" s="31">
        <v>0</v>
      </c>
      <c r="F48" s="26">
        <v>0</v>
      </c>
      <c r="G48" s="30" t="s">
        <v>14</v>
      </c>
    </row>
    <row r="49" spans="1:7" ht="17.25" customHeight="1">
      <c r="A49" s="11"/>
      <c r="B49" s="45" t="s">
        <v>16</v>
      </c>
      <c r="C49" s="43">
        <f>SUM(D49:F49)</f>
        <v>50000</v>
      </c>
      <c r="D49" s="31">
        <v>50000</v>
      </c>
      <c r="E49" s="31">
        <v>0</v>
      </c>
      <c r="F49" s="26">
        <v>0</v>
      </c>
      <c r="G49" s="62" t="s">
        <v>40</v>
      </c>
    </row>
    <row r="50" spans="1:7">
      <c r="A50" s="6"/>
      <c r="B50" s="5" t="s">
        <v>17</v>
      </c>
      <c r="C50" s="52">
        <f>SUM(D50:F50)</f>
        <v>275000</v>
      </c>
      <c r="D50" s="36">
        <v>100000</v>
      </c>
      <c r="E50" s="36">
        <v>100000</v>
      </c>
      <c r="F50" s="51">
        <v>75000</v>
      </c>
      <c r="G50" s="30"/>
    </row>
    <row r="51" spans="1:7">
      <c r="A51" s="6"/>
      <c r="B51" s="5" t="s">
        <v>19</v>
      </c>
      <c r="C51" s="52">
        <f>SUM(C52:C53)</f>
        <v>1210000</v>
      </c>
      <c r="D51" s="52">
        <f>SUM(D52:D53)</f>
        <v>600000</v>
      </c>
      <c r="E51" s="52">
        <f>SUM(E52:E53)</f>
        <v>465000</v>
      </c>
      <c r="F51" s="52">
        <f>SUM(F52:F53)</f>
        <v>145000</v>
      </c>
      <c r="G51" s="30"/>
    </row>
    <row r="52" spans="1:7">
      <c r="A52" s="11"/>
      <c r="B52" s="45" t="s">
        <v>21</v>
      </c>
      <c r="C52" s="44">
        <f>D52</f>
        <v>350000</v>
      </c>
      <c r="D52" s="44">
        <v>350000</v>
      </c>
      <c r="E52" s="22">
        <v>0</v>
      </c>
      <c r="F52" s="26">
        <v>0</v>
      </c>
      <c r="G52" s="30"/>
    </row>
    <row r="53" spans="1:7">
      <c r="A53" s="11"/>
      <c r="B53" s="45" t="s">
        <v>23</v>
      </c>
      <c r="C53" s="44">
        <f>SUM(D53:F53)</f>
        <v>860000</v>
      </c>
      <c r="D53" s="22">
        <v>250000</v>
      </c>
      <c r="E53" s="22">
        <v>465000</v>
      </c>
      <c r="F53" s="26">
        <v>145000</v>
      </c>
      <c r="G53" s="63"/>
    </row>
    <row r="54" spans="1:7">
      <c r="A54" s="6"/>
      <c r="B54" s="5" t="s">
        <v>25</v>
      </c>
      <c r="C54" s="52">
        <f>SUM(D54:F54)</f>
        <v>115000</v>
      </c>
      <c r="D54" s="36">
        <v>0</v>
      </c>
      <c r="E54" s="36">
        <v>0</v>
      </c>
      <c r="F54" s="51">
        <v>115000</v>
      </c>
      <c r="G54" s="11" t="s">
        <v>26</v>
      </c>
    </row>
    <row r="55" spans="1:7">
      <c r="A55" s="18"/>
      <c r="B55" s="41" t="s">
        <v>49</v>
      </c>
      <c r="C55" s="42">
        <f>C46+C51+C50+C54</f>
        <v>2300000</v>
      </c>
      <c r="D55" s="37">
        <f>SUM(D47:D54)</f>
        <v>1800000</v>
      </c>
      <c r="E55" s="37">
        <f>SUM(E47:E54)</f>
        <v>1180000</v>
      </c>
      <c r="F55" s="37">
        <f>SUM(F47:F54)</f>
        <v>530000</v>
      </c>
      <c r="G55" s="19"/>
    </row>
    <row r="57" spans="1:7">
      <c r="C57" s="48"/>
    </row>
    <row r="58" spans="1:7">
      <c r="B58" t="s">
        <v>50</v>
      </c>
      <c r="C58" s="48">
        <f>SUM(C16,C29,C43,C55)</f>
        <v>13999999.994995</v>
      </c>
      <c r="D58" s="48">
        <f t="shared" ref="D58:F58" si="5">SUM(D16,D29,D43,D55)</f>
        <v>4707250</v>
      </c>
      <c r="E58" s="48">
        <f t="shared" si="5"/>
        <v>9169750</v>
      </c>
      <c r="F58" s="48">
        <f t="shared" si="5"/>
        <v>1332999.9949949998</v>
      </c>
    </row>
    <row r="59" spans="1:7">
      <c r="C59" s="1"/>
    </row>
    <row r="60" spans="1:7">
      <c r="D60" s="49"/>
    </row>
    <row r="61" spans="1:7">
      <c r="D61" s="49"/>
    </row>
    <row r="62" spans="1:7">
      <c r="D62" s="49"/>
    </row>
    <row r="63" spans="1:7">
      <c r="D63" s="49"/>
    </row>
    <row r="64" spans="1:7">
      <c r="D64" s="48"/>
    </row>
  </sheetData>
  <mergeCells count="4">
    <mergeCell ref="D5:F5"/>
    <mergeCell ref="D17:F17"/>
    <mergeCell ref="D30:F30"/>
    <mergeCell ref="D44:F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BCF7-8D0C-4E20-BEC9-82C746C0E460}">
  <dimension ref="G7:G9"/>
  <sheetViews>
    <sheetView workbookViewId="0">
      <selection activeCell="G8" sqref="G8"/>
    </sheetView>
  </sheetViews>
  <sheetFormatPr defaultRowHeight="15"/>
  <sheetData>
    <row r="7" spans="7:7">
      <c r="G7">
        <v>8000</v>
      </c>
    </row>
    <row r="8" spans="7:7">
      <c r="G8">
        <v>20</v>
      </c>
    </row>
    <row r="9" spans="7:7">
      <c r="G9">
        <f>G7/G8</f>
        <v>400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DB18-11A6-4671-B7F3-3262515608A5}">
  <dimension ref="B3:C10"/>
  <sheetViews>
    <sheetView zoomScaleNormal="100" workbookViewId="0">
      <selection activeCell="B15" sqref="B15"/>
    </sheetView>
  </sheetViews>
  <sheetFormatPr defaultRowHeight="15"/>
  <cols>
    <col min="2" max="2" width="34" customWidth="1"/>
    <col min="3" max="3" width="200" customWidth="1"/>
    <col min="6" max="6" width="165.5703125" customWidth="1"/>
  </cols>
  <sheetData>
    <row r="3" spans="2:3">
      <c r="B3" s="67" t="s">
        <v>51</v>
      </c>
      <c r="C3" s="67" t="s">
        <v>52</v>
      </c>
    </row>
    <row r="4" spans="2:3" ht="45">
      <c r="B4" s="68" t="s">
        <v>53</v>
      </c>
      <c r="C4" s="68" t="s">
        <v>54</v>
      </c>
    </row>
    <row r="5" spans="2:3" ht="26.25" customHeight="1">
      <c r="B5" s="68" t="s">
        <v>55</v>
      </c>
      <c r="C5" s="68" t="s">
        <v>56</v>
      </c>
    </row>
    <row r="6" spans="2:3" ht="34.5" customHeight="1">
      <c r="B6" s="68" t="s">
        <v>57</v>
      </c>
      <c r="C6" s="68" t="s">
        <v>58</v>
      </c>
    </row>
    <row r="7" spans="2:3" ht="45">
      <c r="B7" s="68" t="s">
        <v>21</v>
      </c>
      <c r="C7" s="68" t="s">
        <v>59</v>
      </c>
    </row>
    <row r="8" spans="2:3">
      <c r="B8" s="68" t="s">
        <v>23</v>
      </c>
      <c r="C8" s="68" t="s">
        <v>60</v>
      </c>
    </row>
    <row r="9" spans="2:3">
      <c r="B9" s="68" t="s">
        <v>41</v>
      </c>
      <c r="C9" s="68" t="s">
        <v>61</v>
      </c>
    </row>
    <row r="10" spans="2:3">
      <c r="B10" s="68" t="s">
        <v>43</v>
      </c>
      <c r="C10" s="68"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79EA1C1F202B40AA7A5BF6CB2A61E3" ma:contentTypeVersion="8" ma:contentTypeDescription="Create a new document." ma:contentTypeScope="" ma:versionID="02f54504f650001002abf2d593ed2946">
  <xsd:schema xmlns:xsd="http://www.w3.org/2001/XMLSchema" xmlns:xs="http://www.w3.org/2001/XMLSchema" xmlns:p="http://schemas.microsoft.com/office/2006/metadata/properties" xmlns:ns2="520f37f0-40c3-47f1-8332-17031bb3f433" xmlns:ns3="f045a637-3cdd-4f4b-b16c-de55dd2e1607" targetNamespace="http://schemas.microsoft.com/office/2006/metadata/properties" ma:root="true" ma:fieldsID="14463b15f83ad4b9469d7c2ebb0e147e" ns2:_="" ns3:_="">
    <xsd:import namespace="520f37f0-40c3-47f1-8332-17031bb3f433"/>
    <xsd:import namespace="f045a637-3cdd-4f4b-b16c-de55dd2e16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f37f0-40c3-47f1-8332-17031bb3f4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45a637-3cdd-4f4b-b16c-de55dd2e16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5BBD5C-F6DA-424A-8CE1-A562A86E04C9}"/>
</file>

<file path=customXml/itemProps2.xml><?xml version="1.0" encoding="utf-8"?>
<ds:datastoreItem xmlns:ds="http://schemas.openxmlformats.org/officeDocument/2006/customXml" ds:itemID="{8B4D726D-0228-4EF4-A4E2-2D2CFD1A7302}"/>
</file>

<file path=customXml/itemProps3.xml><?xml version="1.0" encoding="utf-8"?>
<ds:datastoreItem xmlns:ds="http://schemas.openxmlformats.org/officeDocument/2006/customXml" ds:itemID="{377AC1B9-FF3F-4CFF-91B6-5842D71157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Sanz, Maria</dc:creator>
  <cp:keywords/>
  <dc:description/>
  <cp:lastModifiedBy/>
  <cp:revision/>
  <dcterms:created xsi:type="dcterms:W3CDTF">2021-09-08T13:27:01Z</dcterms:created>
  <dcterms:modified xsi:type="dcterms:W3CDTF">2021-11-29T15:59:28Z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0x0101006179EA1C1F202B40AA7A5BF6CB2A61E3</vt:lpwstr>
  </property>
  <property fmtid="{D5CDD505-2E9C-101B-9397-08002B2CF9AE}" pid="3" name="pgeRecordCategory">
    <vt:lpwstr/>
  </property>
</Properties>
</file>